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360" yWindow="390" windowWidth="18555" windowHeight="12270"/>
  </bookViews>
  <sheets>
    <sheet name="Vergleich Heizung" sheetId="1" r:id="rId1"/>
    <sheet name="Leistungspreis" sheetId="4" r:id="rId2"/>
    <sheet name="Vergleich Brennstoff" sheetId="3" r:id="rId3"/>
  </sheets>
  <definedNames>
    <definedName name="_xlnm.Print_Area" localSheetId="2">'Vergleich Brennstoff'!$A$1:$J$52</definedName>
    <definedName name="_xlnm.Print_Area" localSheetId="0">'Vergleich Heizung'!$A$1:$L$32</definedName>
  </definedNames>
  <calcPr calcId="145621"/>
</workbook>
</file>

<file path=xl/calcChain.xml><?xml version="1.0" encoding="utf-8"?>
<calcChain xmlns="http://schemas.openxmlformats.org/spreadsheetml/2006/main">
  <c r="D20" i="1" l="1"/>
  <c r="D19" i="1"/>
  <c r="F16" i="4" l="1"/>
  <c r="F15" i="4"/>
  <c r="F14" i="4"/>
  <c r="F13" i="4"/>
  <c r="F12" i="4"/>
  <c r="D6" i="4"/>
  <c r="F6" i="3"/>
  <c r="E12" i="4" l="1"/>
  <c r="G12" i="4" s="1"/>
  <c r="E14" i="4"/>
  <c r="G14" i="4" s="1"/>
  <c r="E16" i="4"/>
  <c r="G16" i="4" s="1"/>
  <c r="E13" i="4"/>
  <c r="G13" i="4" s="1"/>
  <c r="E15" i="4"/>
  <c r="G15" i="4" s="1"/>
  <c r="I14" i="4"/>
  <c r="J14" i="4" s="1"/>
  <c r="H14" i="4"/>
  <c r="I16" i="4"/>
  <c r="J16" i="4" s="1"/>
  <c r="H16" i="4"/>
  <c r="I12" i="4"/>
  <c r="J12" i="4" s="1"/>
  <c r="H12" i="4"/>
  <c r="I13" i="4"/>
  <c r="J13" i="4" s="1"/>
  <c r="H13" i="4"/>
  <c r="I15" i="4"/>
  <c r="J15" i="4" s="1"/>
  <c r="H15" i="4"/>
  <c r="E6" i="3"/>
  <c r="E5" i="3"/>
  <c r="F23" i="3" s="1"/>
  <c r="E4" i="3"/>
  <c r="C14" i="3" s="1"/>
  <c r="F22" i="3"/>
  <c r="H22" i="3"/>
  <c r="H23" i="3"/>
  <c r="H24" i="3"/>
  <c r="H25" i="3"/>
  <c r="H26" i="3"/>
  <c r="H27" i="3"/>
  <c r="H28" i="3"/>
  <c r="H21" i="3"/>
  <c r="C13" i="3"/>
  <c r="C18" i="3"/>
  <c r="H13" i="3"/>
  <c r="H14" i="3"/>
  <c r="H15" i="3"/>
  <c r="H16" i="3"/>
  <c r="H17" i="3"/>
  <c r="H18" i="3"/>
  <c r="E13" i="3"/>
  <c r="E14" i="3"/>
  <c r="F14" i="3" s="1"/>
  <c r="E15" i="3"/>
  <c r="E16" i="3"/>
  <c r="F16" i="3" s="1"/>
  <c r="E17" i="3"/>
  <c r="F17" i="3" s="1"/>
  <c r="E18" i="3"/>
  <c r="F18" i="3" s="1"/>
  <c r="H12" i="3"/>
  <c r="E12" i="3" s="1"/>
  <c r="F12" i="3" s="1"/>
  <c r="C16" i="3" l="1"/>
  <c r="C12" i="3"/>
  <c r="C17" i="3"/>
  <c r="C15" i="3"/>
  <c r="I17" i="3"/>
  <c r="I15" i="3"/>
  <c r="I13" i="3"/>
  <c r="I28" i="3"/>
  <c r="I26" i="3"/>
  <c r="I24" i="3"/>
  <c r="I22" i="3"/>
  <c r="I18" i="3"/>
  <c r="I16" i="3"/>
  <c r="I14" i="3"/>
  <c r="I21" i="3"/>
  <c r="I27" i="3"/>
  <c r="I25" i="3"/>
  <c r="I23" i="3"/>
  <c r="F28" i="3"/>
  <c r="F26" i="3"/>
  <c r="F24" i="3"/>
  <c r="F15" i="3"/>
  <c r="F13" i="3"/>
  <c r="F21" i="3"/>
  <c r="F27" i="3"/>
  <c r="F25" i="3"/>
  <c r="I12" i="3"/>
  <c r="B28" i="3"/>
  <c r="C28" i="3" s="1"/>
  <c r="B26" i="3"/>
  <c r="C26" i="3" s="1"/>
  <c r="B24" i="3"/>
  <c r="C24" i="3" s="1"/>
  <c r="B22" i="3"/>
  <c r="C22" i="3" s="1"/>
  <c r="B21" i="3"/>
  <c r="C21" i="3" s="1"/>
  <c r="B27" i="3"/>
  <c r="C27" i="3" s="1"/>
  <c r="B25" i="3"/>
  <c r="C25" i="3" s="1"/>
  <c r="B23" i="3"/>
  <c r="C23" i="3" s="1"/>
  <c r="D7" i="1" l="1"/>
  <c r="F13" i="1"/>
  <c r="G11" i="1" l="1"/>
  <c r="G13" i="1" s="1"/>
  <c r="I11" i="1"/>
  <c r="I13" i="1" s="1"/>
  <c r="C21" i="1"/>
  <c r="D21" i="1" s="1"/>
  <c r="E21" i="1"/>
  <c r="F20" i="1"/>
  <c r="F19" i="1"/>
  <c r="G24" i="1" s="1"/>
  <c r="F21" i="1"/>
  <c r="K24" i="1" s="1"/>
  <c r="K13" i="1"/>
  <c r="K21" i="1" l="1"/>
  <c r="G19" i="1"/>
  <c r="G22" i="1" s="1"/>
  <c r="I24" i="1"/>
  <c r="I20" i="1"/>
  <c r="I22" i="1" s="1"/>
  <c r="K22" i="1"/>
</calcChain>
</file>

<file path=xl/sharedStrings.xml><?xml version="1.0" encoding="utf-8"?>
<sst xmlns="http://schemas.openxmlformats.org/spreadsheetml/2006/main" count="59" uniqueCount="40">
  <si>
    <t>Fernwärme</t>
  </si>
  <si>
    <t>Brennstoffkosten</t>
  </si>
  <si>
    <t>AP</t>
  </si>
  <si>
    <t>GP</t>
  </si>
  <si>
    <t>Verbrauch</t>
  </si>
  <si>
    <t>Weitere Investitionen in Erneuerbare-Energien sind nicht notwendig.</t>
  </si>
  <si>
    <r>
      <t>Laut Umweltbundesamt-CO</t>
    </r>
    <r>
      <rPr>
        <sz val="6"/>
        <rFont val="Arial"/>
        <family val="2"/>
      </rPr>
      <t>2</t>
    </r>
    <r>
      <rPr>
        <sz val="10"/>
        <rFont val="Arial"/>
        <family val="2"/>
      </rPr>
      <t>-Rechner</t>
    </r>
  </si>
  <si>
    <r>
      <t>CO</t>
    </r>
    <r>
      <rPr>
        <sz val="6"/>
        <rFont val="Arial"/>
        <family val="2"/>
      </rPr>
      <t>2</t>
    </r>
    <r>
      <rPr>
        <sz val="10"/>
        <rFont val="Arial"/>
        <family val="2"/>
      </rPr>
      <t xml:space="preserve"> Ausstoß:</t>
    </r>
  </si>
  <si>
    <t>Erdgas</t>
  </si>
  <si>
    <t>Annuität über</t>
  </si>
  <si>
    <t>Heizöl</t>
  </si>
  <si>
    <r>
      <t xml:space="preserve">Heizöl </t>
    </r>
    <r>
      <rPr>
        <sz val="11"/>
        <rFont val="Arial"/>
        <family val="2"/>
      </rPr>
      <t xml:space="preserve">oder </t>
    </r>
  </si>
  <si>
    <t xml:space="preserve">Die Fernwärme erfüllt in ausreichendem Maße die Kriterien des EEWärmeG. </t>
  </si>
  <si>
    <t>Wartungs- und Instandhaltungskosten</t>
  </si>
  <si>
    <t>Schornsteinfeger</t>
  </si>
  <si>
    <t>Reparaturrücklagen</t>
  </si>
  <si>
    <t>Wartung Heizung</t>
  </si>
  <si>
    <t xml:space="preserve">http://klimaktiv.klimaktiv-co2-rechner.de/de_DE/page/ </t>
  </si>
  <si>
    <t xml:space="preserve">Endkundenvergleich Heizöl, Erdgas und Fernwärme </t>
  </si>
  <si>
    <t>Brennstoffkostenvergleich</t>
  </si>
  <si>
    <t>AP netto</t>
  </si>
  <si>
    <t>AP brutto</t>
  </si>
  <si>
    <t>€/a</t>
  </si>
  <si>
    <t>FW-Preis:</t>
  </si>
  <si>
    <t>netto</t>
  </si>
  <si>
    <t>brutto</t>
  </si>
  <si>
    <t>kW</t>
  </si>
  <si>
    <t>Leistungspreis (LP) netto</t>
  </si>
  <si>
    <t>Summe Arbeitspreis (AP) netto</t>
  </si>
  <si>
    <t>Jahres-verbrauch</t>
  </si>
  <si>
    <t>Summe      AP + LP netto</t>
  </si>
  <si>
    <t>Summe      AP + LP brutto</t>
  </si>
  <si>
    <t>Kumulierter AP (netto) aus AP+LP</t>
  </si>
  <si>
    <t>Kumulierter AP (brutto) aus AP+LP</t>
  </si>
  <si>
    <t>bis</t>
  </si>
  <si>
    <t>Brutto</t>
  </si>
  <si>
    <t>Brennstoffbedarf von :</t>
  </si>
  <si>
    <t>Wärmebedarf</t>
  </si>
  <si>
    <t>entspricht etwa:</t>
  </si>
  <si>
    <t>Investition bei einer Erneuerung der Bestandsheizung (brutto)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</si>
</sst>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€_-;\-* #,##0.00\ _€_-;_-* &quot;-&quot;??\ _€_-;_-@_-"/>
    <numFmt numFmtId="164" formatCode="#,##0\ &quot;€/a&quot;"/>
    <numFmt numFmtId="165" formatCode="#,##0\ &quot;€&quot;"/>
    <numFmt numFmtId="166" formatCode="#,##0\ &quot;kWh/a&quot;"/>
    <numFmt numFmtId="167" formatCode="#,##0.0000\ &quot;€/kWh&quot;"/>
    <numFmt numFmtId="168" formatCode="0.00000"/>
    <numFmt numFmtId="169" formatCode="#,##0.00\ &quot;t/a&quot;"/>
    <numFmt numFmtId="170" formatCode="#,##0\ &quot;Liter&quot;"/>
    <numFmt numFmtId="171" formatCode="#,##0\ &quot;kWh&quot;"/>
    <numFmt numFmtId="172" formatCode="#,##0\ &quot;Ct/Liter&quot;"/>
    <numFmt numFmtId="173" formatCode="#,##0\ &quot;€/t&quot;"/>
    <numFmt numFmtId="174" formatCode="#,##0.00\ &quot;Ct/kWh&quot;"/>
    <numFmt numFmtId="175" formatCode="#,##0\ &quot;Jahre&quot;"/>
    <numFmt numFmtId="176" formatCode="#,##0\ &quot;kWh Erdgas&quot;"/>
    <numFmt numFmtId="177" formatCode="0.00\ &quot;Ct/kWh&quot;"/>
    <numFmt numFmtId="178" formatCode="0.0000"/>
    <numFmt numFmtId="179" formatCode="#,##0\ &quot;Liter/a&quot;"/>
  </numFmts>
  <fonts count="16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2"/>
      <color theme="9" tint="-0.249977111117893"/>
      <name val="Arial"/>
      <family val="2"/>
    </font>
    <font>
      <sz val="10"/>
      <name val="Arial"/>
      <family val="2"/>
    </font>
    <font>
      <sz val="72"/>
      <name val="Arial"/>
      <family val="2"/>
    </font>
    <font>
      <sz val="10"/>
      <color theme="0" tint="-0.249977111117893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3" fillId="0" borderId="0" xfId="0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1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/>
    <xf numFmtId="167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2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74" fontId="2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1" applyAlignment="1" applyProtection="1"/>
    <xf numFmtId="0" fontId="0" fillId="0" borderId="0" xfId="0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/>
    <xf numFmtId="165" fontId="0" fillId="0" borderId="0" xfId="0" applyNumberFormat="1" applyFill="1" applyBorder="1" applyAlignment="1"/>
    <xf numFmtId="164" fontId="0" fillId="0" borderId="0" xfId="0" applyNumberFormat="1" applyFill="1" applyBorder="1" applyAlignment="1"/>
    <xf numFmtId="0" fontId="0" fillId="0" borderId="0" xfId="0" applyFill="1" applyBorder="1" applyAlignment="1"/>
    <xf numFmtId="164" fontId="3" fillId="0" borderId="0" xfId="0" applyNumberFormat="1" applyFont="1" applyFill="1" applyBorder="1" applyAlignment="1"/>
    <xf numFmtId="169" fontId="3" fillId="0" borderId="0" xfId="0" applyNumberFormat="1" applyFont="1" applyFill="1" applyBorder="1" applyAlignment="1"/>
    <xf numFmtId="0" fontId="6" fillId="0" borderId="0" xfId="0" applyFont="1" applyFill="1" applyBorder="1"/>
    <xf numFmtId="0" fontId="7" fillId="0" borderId="0" xfId="0" applyFont="1"/>
    <xf numFmtId="0" fontId="10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6" fillId="0" borderId="4" xfId="0" applyFont="1" applyFill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7" fillId="0" borderId="16" xfId="0" applyFont="1" applyFill="1" applyBorder="1"/>
    <xf numFmtId="0" fontId="0" fillId="3" borderId="0" xfId="0" applyFill="1" applyBorder="1"/>
    <xf numFmtId="0" fontId="0" fillId="2" borderId="0" xfId="0" applyFill="1" applyBorder="1"/>
    <xf numFmtId="175" fontId="0" fillId="3" borderId="0" xfId="0" applyNumberFormat="1" applyFill="1" applyBorder="1" applyAlignment="1" applyProtection="1">
      <alignment horizontal="left"/>
    </xf>
    <xf numFmtId="10" fontId="0" fillId="3" borderId="0" xfId="0" applyNumberFormat="1" applyFill="1" applyBorder="1" applyAlignment="1" applyProtection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2" fillId="3" borderId="25" xfId="0" applyFont="1" applyFill="1" applyBorder="1"/>
    <xf numFmtId="0" fontId="0" fillId="0" borderId="25" xfId="0" applyFill="1" applyBorder="1"/>
    <xf numFmtId="0" fontId="7" fillId="0" borderId="2" xfId="0" applyFont="1" applyFill="1" applyBorder="1"/>
    <xf numFmtId="0" fontId="0" fillId="2" borderId="25" xfId="0" applyFill="1" applyBorder="1"/>
    <xf numFmtId="0" fontId="7" fillId="0" borderId="2" xfId="0" applyFont="1" applyBorder="1"/>
    <xf numFmtId="0" fontId="7" fillId="0" borderId="26" xfId="0" applyFont="1" applyFill="1" applyBorder="1"/>
    <xf numFmtId="0" fontId="0" fillId="0" borderId="30" xfId="0" applyBorder="1"/>
    <xf numFmtId="0" fontId="0" fillId="0" borderId="1" xfId="0" applyBorder="1"/>
    <xf numFmtId="0" fontId="0" fillId="0" borderId="3" xfId="0" applyBorder="1"/>
    <xf numFmtId="0" fontId="7" fillId="0" borderId="25" xfId="0" applyFont="1" applyFill="1" applyBorder="1"/>
    <xf numFmtId="0" fontId="7" fillId="0" borderId="2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33" xfId="0" applyFill="1" applyBorder="1"/>
    <xf numFmtId="0" fontId="0" fillId="0" borderId="24" xfId="0" applyBorder="1"/>
    <xf numFmtId="0" fontId="0" fillId="3" borderId="2" xfId="0" applyFill="1" applyBorder="1"/>
    <xf numFmtId="0" fontId="0" fillId="0" borderId="2" xfId="0" applyFill="1" applyBorder="1"/>
    <xf numFmtId="0" fontId="0" fillId="2" borderId="2" xfId="0" applyFill="1" applyBorder="1" applyAlignment="1">
      <alignment horizontal="right"/>
    </xf>
    <xf numFmtId="0" fontId="0" fillId="0" borderId="34" xfId="0" applyFill="1" applyBorder="1" applyAlignment="1">
      <alignment horizont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170" fontId="6" fillId="2" borderId="25" xfId="0" applyNumberFormat="1" applyFont="1" applyFill="1" applyBorder="1" applyAlignment="1">
      <alignment horizontal="right"/>
    </xf>
    <xf numFmtId="164" fontId="6" fillId="0" borderId="35" xfId="0" applyNumberFormat="1" applyFont="1" applyFill="1" applyBorder="1" applyAlignment="1">
      <alignment horizontal="right"/>
    </xf>
    <xf numFmtId="170" fontId="6" fillId="2" borderId="36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right"/>
    </xf>
    <xf numFmtId="170" fontId="6" fillId="2" borderId="30" xfId="0" applyNumberFormat="1" applyFont="1" applyFill="1" applyBorder="1" applyAlignment="1">
      <alignment horizontal="right"/>
    </xf>
    <xf numFmtId="164" fontId="6" fillId="0" borderId="38" xfId="0" applyNumberFormat="1" applyFont="1" applyFill="1" applyBorder="1" applyAlignment="1">
      <alignment horizontal="right"/>
    </xf>
    <xf numFmtId="171" fontId="6" fillId="0" borderId="25" xfId="0" applyNumberFormat="1" applyFont="1" applyFill="1" applyBorder="1" applyAlignment="1">
      <alignment horizontal="right"/>
    </xf>
    <xf numFmtId="171" fontId="6" fillId="0" borderId="36" xfId="0" applyNumberFormat="1" applyFont="1" applyFill="1" applyBorder="1" applyAlignment="1">
      <alignment horizontal="right"/>
    </xf>
    <xf numFmtId="171" fontId="6" fillId="0" borderId="30" xfId="0" applyNumberFormat="1" applyFont="1" applyFill="1" applyBorder="1" applyAlignment="1">
      <alignment horizontal="right"/>
    </xf>
    <xf numFmtId="170" fontId="6" fillId="0" borderId="22" xfId="0" applyNumberFormat="1" applyFont="1" applyFill="1" applyBorder="1" applyAlignment="1">
      <alignment horizontal="right"/>
    </xf>
    <xf numFmtId="164" fontId="6" fillId="0" borderId="39" xfId="0" applyNumberFormat="1" applyFont="1" applyFill="1" applyBorder="1" applyAlignment="1">
      <alignment horizontal="right"/>
    </xf>
    <xf numFmtId="170" fontId="6" fillId="0" borderId="36" xfId="0" applyNumberFormat="1" applyFont="1" applyFill="1" applyBorder="1" applyAlignment="1">
      <alignment horizontal="right"/>
    </xf>
    <xf numFmtId="170" fontId="6" fillId="0" borderId="25" xfId="0" applyNumberFormat="1" applyFont="1" applyFill="1" applyBorder="1" applyAlignment="1">
      <alignment horizontal="right"/>
    </xf>
    <xf numFmtId="170" fontId="6" fillId="0" borderId="40" xfId="0" applyNumberFormat="1" applyFont="1" applyFill="1" applyBorder="1" applyAlignment="1">
      <alignment horizontal="right"/>
    </xf>
    <xf numFmtId="164" fontId="6" fillId="0" borderId="41" xfId="0" applyNumberFormat="1" applyFont="1" applyFill="1" applyBorder="1" applyAlignment="1">
      <alignment horizontal="right"/>
    </xf>
    <xf numFmtId="171" fontId="6" fillId="2" borderId="22" xfId="0" applyNumberFormat="1" applyFont="1" applyFill="1" applyBorder="1" applyAlignment="1">
      <alignment horizontal="right"/>
    </xf>
    <xf numFmtId="171" fontId="6" fillId="2" borderId="36" xfId="0" applyNumberFormat="1" applyFont="1" applyFill="1" applyBorder="1" applyAlignment="1">
      <alignment horizontal="right"/>
    </xf>
    <xf numFmtId="171" fontId="6" fillId="2" borderId="25" xfId="0" applyNumberFormat="1" applyFont="1" applyFill="1" applyBorder="1" applyAlignment="1">
      <alignment horizontal="right"/>
    </xf>
    <xf numFmtId="171" fontId="6" fillId="2" borderId="40" xfId="0" applyNumberFormat="1" applyFont="1" applyFill="1" applyBorder="1" applyAlignment="1">
      <alignment horizontal="right"/>
    </xf>
    <xf numFmtId="171" fontId="6" fillId="0" borderId="22" xfId="0" applyNumberFormat="1" applyFont="1" applyFill="1" applyBorder="1" applyAlignment="1">
      <alignment horizontal="right"/>
    </xf>
    <xf numFmtId="171" fontId="6" fillId="0" borderId="40" xfId="0" applyNumberFormat="1" applyFont="1" applyFill="1" applyBorder="1" applyAlignment="1">
      <alignment horizontal="right"/>
    </xf>
    <xf numFmtId="170" fontId="6" fillId="2" borderId="22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 wrapText="1"/>
    </xf>
    <xf numFmtId="172" fontId="7" fillId="4" borderId="11" xfId="0" applyNumberFormat="1" applyFont="1" applyFill="1" applyBorder="1" applyAlignment="1"/>
    <xf numFmtId="174" fontId="7" fillId="4" borderId="6" xfId="0" applyNumberFormat="1" applyFont="1" applyFill="1" applyBorder="1" applyAlignment="1"/>
    <xf numFmtId="174" fontId="7" fillId="4" borderId="14" xfId="0" applyNumberFormat="1" applyFont="1" applyFill="1" applyBorder="1" applyAlignment="1"/>
    <xf numFmtId="0" fontId="2" fillId="0" borderId="0" xfId="0" applyFont="1" applyAlignment="1">
      <alignment horizontal="right"/>
    </xf>
    <xf numFmtId="177" fontId="0" fillId="0" borderId="0" xfId="0" applyNumberFormat="1"/>
    <xf numFmtId="0" fontId="2" fillId="0" borderId="0" xfId="0" applyFont="1" applyAlignment="1">
      <alignment horizontal="center"/>
    </xf>
    <xf numFmtId="177" fontId="0" fillId="5" borderId="0" xfId="0" applyNumberFormat="1" applyFill="1"/>
    <xf numFmtId="0" fontId="13" fillId="0" borderId="0" xfId="0" applyFont="1" applyFill="1" applyBorder="1" applyAlignment="1"/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8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78" fontId="0" fillId="0" borderId="0" xfId="0" applyNumberFormat="1" applyFill="1" applyBorder="1"/>
    <xf numFmtId="0" fontId="2" fillId="0" borderId="45" xfId="0" applyNumberFormat="1" applyFont="1" applyFill="1" applyBorder="1" applyAlignment="1">
      <alignment horizontal="center"/>
    </xf>
    <xf numFmtId="0" fontId="0" fillId="0" borderId="45" xfId="0" applyNumberFormat="1" applyFill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164" fontId="0" fillId="0" borderId="45" xfId="2" applyNumberFormat="1" applyFont="1" applyBorder="1" applyAlignment="1">
      <alignment horizontal="right"/>
    </xf>
    <xf numFmtId="164" fontId="0" fillId="0" borderId="46" xfId="2" applyNumberFormat="1" applyFont="1" applyBorder="1" applyAlignment="1">
      <alignment horizontal="right"/>
    </xf>
    <xf numFmtId="166" fontId="0" fillId="0" borderId="45" xfId="2" applyNumberFormat="1" applyFont="1" applyBorder="1" applyAlignment="1">
      <alignment horizontal="right"/>
    </xf>
    <xf numFmtId="178" fontId="0" fillId="0" borderId="45" xfId="0" applyNumberFormat="1" applyBorder="1" applyAlignment="1">
      <alignment horizontal="center"/>
    </xf>
    <xf numFmtId="178" fontId="0" fillId="0" borderId="46" xfId="0" applyNumberFormat="1" applyBorder="1" applyAlignment="1">
      <alignment horizontal="center"/>
    </xf>
    <xf numFmtId="167" fontId="2" fillId="0" borderId="48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166" fontId="2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0" xfId="0" applyFont="1" applyFill="1" applyBorder="1"/>
    <xf numFmtId="0" fontId="2" fillId="0" borderId="18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170" fontId="6" fillId="5" borderId="0" xfId="0" applyNumberFormat="1" applyFont="1" applyFill="1"/>
    <xf numFmtId="0" fontId="3" fillId="0" borderId="0" xfId="0" applyFont="1"/>
    <xf numFmtId="172" fontId="2" fillId="5" borderId="4" xfId="0" applyNumberFormat="1" applyFont="1" applyFill="1" applyBorder="1" applyAlignment="1">
      <alignment horizontal="center"/>
    </xf>
    <xf numFmtId="174" fontId="2" fillId="5" borderId="4" xfId="0" applyNumberFormat="1" applyFont="1" applyFill="1" applyBorder="1" applyAlignment="1">
      <alignment horizontal="center"/>
    </xf>
    <xf numFmtId="174" fontId="2" fillId="5" borderId="0" xfId="0" applyNumberFormat="1" applyFont="1" applyFill="1" applyBorder="1" applyAlignment="1">
      <alignment horizontal="center"/>
    </xf>
    <xf numFmtId="0" fontId="2" fillId="6" borderId="28" xfId="0" applyFont="1" applyFill="1" applyBorder="1"/>
    <xf numFmtId="0" fontId="2" fillId="6" borderId="29" xfId="0" applyFont="1" applyFill="1" applyBorder="1"/>
    <xf numFmtId="0" fontId="2" fillId="6" borderId="25" xfId="0" applyFont="1" applyFill="1" applyBorder="1"/>
    <xf numFmtId="172" fontId="2" fillId="6" borderId="4" xfId="0" applyNumberFormat="1" applyFont="1" applyFill="1" applyBorder="1" applyAlignment="1">
      <alignment horizontal="center"/>
    </xf>
    <xf numFmtId="174" fontId="2" fillId="6" borderId="4" xfId="0" applyNumberFormat="1" applyFont="1" applyFill="1" applyBorder="1" applyAlignment="1">
      <alignment horizontal="center"/>
    </xf>
    <xf numFmtId="174" fontId="2" fillId="6" borderId="0" xfId="0" applyNumberFormat="1" applyFont="1" applyFill="1" applyBorder="1" applyAlignment="1">
      <alignment horizontal="center"/>
    </xf>
    <xf numFmtId="179" fontId="0" fillId="6" borderId="34" xfId="0" applyNumberFormat="1" applyFill="1" applyBorder="1"/>
    <xf numFmtId="166" fontId="0" fillId="6" borderId="34" xfId="0" applyNumberFormat="1" applyFill="1" applyBorder="1"/>
    <xf numFmtId="0" fontId="7" fillId="6" borderId="25" xfId="0" applyFont="1" applyFill="1" applyBorder="1"/>
    <xf numFmtId="0" fontId="7" fillId="6" borderId="2" xfId="0" applyFont="1" applyFill="1" applyBorder="1"/>
    <xf numFmtId="166" fontId="0" fillId="6" borderId="2" xfId="0" applyNumberFormat="1" applyFill="1" applyBorder="1"/>
    <xf numFmtId="0" fontId="7" fillId="6" borderId="30" xfId="0" applyFont="1" applyFill="1" applyBorder="1"/>
    <xf numFmtId="0" fontId="7" fillId="6" borderId="3" xfId="0" applyFont="1" applyFill="1" applyBorder="1"/>
    <xf numFmtId="164" fontId="2" fillId="5" borderId="4" xfId="0" applyNumberFormat="1" applyFont="1" applyFill="1" applyBorder="1" applyAlignment="1">
      <alignment horizontal="center"/>
    </xf>
    <xf numFmtId="164" fontId="2" fillId="5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164" fontId="7" fillId="2" borderId="3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4" fontId="7" fillId="3" borderId="25" xfId="0" applyNumberFormat="1" applyFont="1" applyFill="1" applyBorder="1" applyAlignment="1">
      <alignment horizontal="center"/>
    </xf>
    <xf numFmtId="164" fontId="7" fillId="2" borderId="32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166" fontId="11" fillId="0" borderId="0" xfId="0" applyNumberFormat="1" applyFont="1" applyFill="1" applyAlignment="1">
      <alignment horizontal="center"/>
    </xf>
    <xf numFmtId="176" fontId="6" fillId="5" borderId="0" xfId="0" applyNumberFormat="1" applyFont="1" applyFill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9" fontId="3" fillId="0" borderId="18" xfId="0" applyNumberFormat="1" applyFont="1" applyBorder="1" applyAlignment="1">
      <alignment horizontal="center"/>
    </xf>
    <xf numFmtId="169" fontId="3" fillId="0" borderId="20" xfId="0" applyNumberFormat="1" applyFont="1" applyBorder="1" applyAlignment="1">
      <alignment horizontal="center"/>
    </xf>
    <xf numFmtId="169" fontId="3" fillId="0" borderId="19" xfId="0" applyNumberFormat="1" applyFont="1" applyBorder="1" applyAlignment="1">
      <alignment horizontal="center"/>
    </xf>
    <xf numFmtId="169" fontId="3" fillId="0" borderId="21" xfId="0" applyNumberFormat="1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6" borderId="31" xfId="0" applyNumberFormat="1" applyFont="1" applyFill="1" applyBorder="1" applyAlignment="1">
      <alignment horizontal="center"/>
    </xf>
    <xf numFmtId="164" fontId="7" fillId="6" borderId="27" xfId="0" applyNumberFormat="1" applyFont="1" applyFill="1" applyBorder="1" applyAlignment="1">
      <alignment horizontal="center"/>
    </xf>
    <xf numFmtId="164" fontId="7" fillId="6" borderId="43" xfId="0" applyNumberFormat="1" applyFont="1" applyFill="1" applyBorder="1" applyAlignment="1">
      <alignment horizontal="center"/>
    </xf>
    <xf numFmtId="164" fontId="7" fillId="6" borderId="44" xfId="0" applyNumberFormat="1" applyFont="1" applyFill="1" applyBorder="1" applyAlignment="1">
      <alignment horizont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72" fontId="7" fillId="4" borderId="9" xfId="0" applyNumberFormat="1" applyFont="1" applyFill="1" applyBorder="1" applyAlignment="1">
      <alignment horizontal="center"/>
    </xf>
    <xf numFmtId="172" fontId="7" fillId="4" borderId="10" xfId="0" applyNumberFormat="1" applyFont="1" applyFill="1" applyBorder="1" applyAlignment="1">
      <alignment horizontal="center"/>
    </xf>
    <xf numFmtId="174" fontId="7" fillId="4" borderId="7" xfId="0" applyNumberFormat="1" applyFont="1" applyFill="1" applyBorder="1" applyAlignment="1">
      <alignment horizontal="center"/>
    </xf>
    <xf numFmtId="174" fontId="7" fillId="4" borderId="8" xfId="0" applyNumberFormat="1" applyFont="1" applyFill="1" applyBorder="1" applyAlignment="1">
      <alignment horizontal="center"/>
    </xf>
    <xf numFmtId="174" fontId="7" fillId="4" borderId="12" xfId="0" applyNumberFormat="1" applyFont="1" applyFill="1" applyBorder="1" applyAlignment="1">
      <alignment horizontal="center"/>
    </xf>
    <xf numFmtId="174" fontId="7" fillId="4" borderId="13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8" fontId="2" fillId="3" borderId="2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Komma" xfId="2" builtinId="3"/>
    <cellStyle name="Standard" xfId="0" builtinId="0"/>
  </cellStyles>
  <dxfs count="0"/>
  <tableStyles count="0" defaultTableStyle="TableStyleMedium9" defaultPivotStyle="PivotStyleLight16"/>
  <colors>
    <mruColors>
      <color rgb="FFFFFF66"/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Öl</c:v>
          </c:tx>
          <c:marker>
            <c:symbol val="none"/>
          </c:marker>
          <c:cat>
            <c:numRef>
              <c:f>'Vergleich Brennstoff'!$E$21:$E$28</c:f>
              <c:numCache>
                <c:formatCode>#,##0\ "kWh"</c:formatCode>
                <c:ptCount val="8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</c:numCache>
            </c:numRef>
          </c:cat>
          <c:val>
            <c:numRef>
              <c:f>'Vergleich Brennstoff'!$C$21:$C$28</c:f>
              <c:numCache>
                <c:formatCode>#,##0\ "€/a"</c:formatCode>
                <c:ptCount val="8"/>
                <c:pt idx="0">
                  <c:v>747.67924528301887</c:v>
                </c:pt>
                <c:pt idx="1">
                  <c:v>1121.5188679245284</c:v>
                </c:pt>
                <c:pt idx="2">
                  <c:v>1495.3584905660377</c:v>
                </c:pt>
                <c:pt idx="3">
                  <c:v>1869.1981132075473</c:v>
                </c:pt>
                <c:pt idx="4">
                  <c:v>2243.0377358490568</c:v>
                </c:pt>
                <c:pt idx="5">
                  <c:v>2616.8773584905662</c:v>
                </c:pt>
                <c:pt idx="6">
                  <c:v>2990.7169811320755</c:v>
                </c:pt>
                <c:pt idx="7">
                  <c:v>3364.5566037735848</c:v>
                </c:pt>
              </c:numCache>
            </c:numRef>
          </c:val>
          <c:smooth val="0"/>
        </c:ser>
        <c:ser>
          <c:idx val="1"/>
          <c:order val="1"/>
          <c:tx>
            <c:v>Gas</c:v>
          </c:tx>
          <c:marker>
            <c:symbol val="none"/>
          </c:marker>
          <c:cat>
            <c:numRef>
              <c:f>'Vergleich Brennstoff'!$E$21:$E$28</c:f>
              <c:numCache>
                <c:formatCode>#,##0\ "kWh"</c:formatCode>
                <c:ptCount val="8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</c:numCache>
            </c:numRef>
          </c:cat>
          <c:val>
            <c:numRef>
              <c:f>'Vergleich Brennstoff'!$F$21:$F$28</c:f>
              <c:numCache>
                <c:formatCode>#,##0\ "€/a"</c:formatCode>
                <c:ptCount val="8"/>
                <c:pt idx="0">
                  <c:v>730.36</c:v>
                </c:pt>
                <c:pt idx="1">
                  <c:v>1054.04</c:v>
                </c:pt>
                <c:pt idx="2">
                  <c:v>1377.72</c:v>
                </c:pt>
                <c:pt idx="3">
                  <c:v>1701.4</c:v>
                </c:pt>
                <c:pt idx="4">
                  <c:v>2025.08</c:v>
                </c:pt>
                <c:pt idx="5">
                  <c:v>2348.7600000000002</c:v>
                </c:pt>
                <c:pt idx="6">
                  <c:v>2672.44</c:v>
                </c:pt>
                <c:pt idx="7">
                  <c:v>2996.12</c:v>
                </c:pt>
              </c:numCache>
            </c:numRef>
          </c:val>
          <c:smooth val="0"/>
        </c:ser>
        <c:ser>
          <c:idx val="2"/>
          <c:order val="2"/>
          <c:tx>
            <c:v>Fernwärme</c:v>
          </c:tx>
          <c:marker>
            <c:symbol val="none"/>
          </c:marker>
          <c:cat>
            <c:numRef>
              <c:f>'Vergleich Brennstoff'!$E$21:$E$28</c:f>
              <c:numCache>
                <c:formatCode>#,##0\ "kWh"</c:formatCode>
                <c:ptCount val="8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</c:numCache>
            </c:numRef>
          </c:cat>
          <c:val>
            <c:numRef>
              <c:f>'Vergleich Brennstoff'!$I$21:$I$28</c:f>
              <c:numCache>
                <c:formatCode>#,##0\ "€/a"</c:formatCode>
                <c:ptCount val="8"/>
                <c:pt idx="0">
                  <c:v>711.71519999999987</c:v>
                </c:pt>
                <c:pt idx="1">
                  <c:v>996.17279999999994</c:v>
                </c:pt>
                <c:pt idx="2">
                  <c:v>1280.6303999999998</c:v>
                </c:pt>
                <c:pt idx="3">
                  <c:v>1565.0879999999997</c:v>
                </c:pt>
                <c:pt idx="4">
                  <c:v>1849.5455999999999</c:v>
                </c:pt>
                <c:pt idx="5">
                  <c:v>2134.0031999999997</c:v>
                </c:pt>
                <c:pt idx="6">
                  <c:v>2418.4607999999998</c:v>
                </c:pt>
                <c:pt idx="7">
                  <c:v>2702.9184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33952"/>
        <c:axId val="92335488"/>
      </c:lineChart>
      <c:catAx>
        <c:axId val="92333952"/>
        <c:scaling>
          <c:orientation val="minMax"/>
        </c:scaling>
        <c:delete val="0"/>
        <c:axPos val="b"/>
        <c:numFmt formatCode="#,##0\ &quot;kWh&quot;" sourceLinked="1"/>
        <c:majorTickMark val="out"/>
        <c:minorTickMark val="none"/>
        <c:tickLblPos val="nextTo"/>
        <c:crossAx val="92335488"/>
        <c:crosses val="autoZero"/>
        <c:auto val="1"/>
        <c:lblAlgn val="ctr"/>
        <c:lblOffset val="100"/>
        <c:noMultiLvlLbl val="0"/>
      </c:catAx>
      <c:valAx>
        <c:axId val="92335488"/>
        <c:scaling>
          <c:orientation val="minMax"/>
        </c:scaling>
        <c:delete val="0"/>
        <c:axPos val="l"/>
        <c:majorGridlines/>
        <c:numFmt formatCode="#,##0\ &quot;€/a&quot;" sourceLinked="1"/>
        <c:majorTickMark val="out"/>
        <c:minorTickMark val="none"/>
        <c:tickLblPos val="nextTo"/>
        <c:crossAx val="92333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95000"/>
        </a:schemeClr>
      </a:solidFill>
    </a:ln>
    <a:effectLst>
      <a:outerShdw blurRad="165100" dist="38100" dir="2700000" algn="tl" rotWithShape="0">
        <a:prstClr val="black"/>
      </a:outerShdw>
    </a:effectLst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Öl</c:v>
          </c:tx>
          <c:marker>
            <c:symbol val="none"/>
          </c:marker>
          <c:cat>
            <c:numRef>
              <c:f>'Vergleich Brennstoff'!$B$12:$B$18</c:f>
              <c:numCache>
                <c:formatCode>#,##0\ "Liter"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</c:numCache>
            </c:numRef>
          </c:cat>
          <c:val>
            <c:numRef>
              <c:f>'Vergleich Brennstoff'!$C$12:$C$18</c:f>
              <c:numCache>
                <c:formatCode>#,##0\ "€/a"</c:formatCode>
                <c:ptCount val="7"/>
                <c:pt idx="0">
                  <c:v>880.6</c:v>
                </c:pt>
                <c:pt idx="1">
                  <c:v>1320.9</c:v>
                </c:pt>
                <c:pt idx="2">
                  <c:v>1761.2</c:v>
                </c:pt>
                <c:pt idx="3">
                  <c:v>2201.5</c:v>
                </c:pt>
                <c:pt idx="4">
                  <c:v>2641.8</c:v>
                </c:pt>
                <c:pt idx="5">
                  <c:v>3082.1</c:v>
                </c:pt>
                <c:pt idx="6">
                  <c:v>3522.4</c:v>
                </c:pt>
              </c:numCache>
            </c:numRef>
          </c:val>
          <c:smooth val="0"/>
        </c:ser>
        <c:ser>
          <c:idx val="1"/>
          <c:order val="1"/>
          <c:tx>
            <c:v>Gas</c:v>
          </c:tx>
          <c:marker>
            <c:symbol val="none"/>
          </c:marker>
          <c:cat>
            <c:numRef>
              <c:f>'Vergleich Brennstoff'!$B$12:$B$18</c:f>
              <c:numCache>
                <c:formatCode>#,##0\ "Liter"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</c:numCache>
            </c:numRef>
          </c:cat>
          <c:val>
            <c:numRef>
              <c:f>'Vergleich Brennstoff'!$F$12:$F$18</c:f>
              <c:numCache>
                <c:formatCode>#,##0\ "€/a"</c:formatCode>
                <c:ptCount val="7"/>
                <c:pt idx="0">
                  <c:v>845.44622222222233</c:v>
                </c:pt>
                <c:pt idx="1">
                  <c:v>1226.6693333333333</c:v>
                </c:pt>
                <c:pt idx="2">
                  <c:v>1607.8924444444447</c:v>
                </c:pt>
                <c:pt idx="3">
                  <c:v>1989.1155555555554</c:v>
                </c:pt>
                <c:pt idx="4">
                  <c:v>2370.3386666666665</c:v>
                </c:pt>
                <c:pt idx="5">
                  <c:v>2751.561777777777</c:v>
                </c:pt>
                <c:pt idx="6">
                  <c:v>3132.7848888888893</c:v>
                </c:pt>
              </c:numCache>
            </c:numRef>
          </c:val>
          <c:smooth val="0"/>
        </c:ser>
        <c:ser>
          <c:idx val="2"/>
          <c:order val="2"/>
          <c:tx>
            <c:v>Fernwärme</c:v>
          </c:tx>
          <c:marker>
            <c:symbol val="none"/>
          </c:marker>
          <c:cat>
            <c:numRef>
              <c:f>'Vergleich Brennstoff'!$B$12:$B$18</c:f>
              <c:numCache>
                <c:formatCode>#,##0\ "Liter"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</c:numCache>
            </c:numRef>
          </c:cat>
          <c:val>
            <c:numRef>
              <c:f>'Vergleich Brennstoff'!$I$12:$I$18</c:f>
              <c:numCache>
                <c:formatCode>#,##0\ "€/a"</c:formatCode>
                <c:ptCount val="7"/>
                <c:pt idx="0">
                  <c:v>812.85567999999989</c:v>
                </c:pt>
                <c:pt idx="1">
                  <c:v>1147.8835199999999</c:v>
                </c:pt>
                <c:pt idx="2">
                  <c:v>1482.9113599999998</c:v>
                </c:pt>
                <c:pt idx="3">
                  <c:v>1817.9391999999998</c:v>
                </c:pt>
                <c:pt idx="4">
                  <c:v>2152.9670399999995</c:v>
                </c:pt>
                <c:pt idx="5">
                  <c:v>2487.9948800000002</c:v>
                </c:pt>
                <c:pt idx="6">
                  <c:v>2823.0227199999999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14304"/>
        <c:axId val="91715840"/>
      </c:lineChart>
      <c:catAx>
        <c:axId val="91714304"/>
        <c:scaling>
          <c:orientation val="minMax"/>
        </c:scaling>
        <c:delete val="0"/>
        <c:axPos val="b"/>
        <c:numFmt formatCode="#,##0\ &quot;Liter&quot;" sourceLinked="1"/>
        <c:majorTickMark val="out"/>
        <c:minorTickMark val="none"/>
        <c:tickLblPos val="nextTo"/>
        <c:crossAx val="91715840"/>
        <c:crosses val="autoZero"/>
        <c:auto val="1"/>
        <c:lblAlgn val="ctr"/>
        <c:lblOffset val="100"/>
        <c:noMultiLvlLbl val="0"/>
      </c:catAx>
      <c:valAx>
        <c:axId val="91715840"/>
        <c:scaling>
          <c:orientation val="minMax"/>
        </c:scaling>
        <c:delete val="0"/>
        <c:axPos val="l"/>
        <c:majorGridlines/>
        <c:numFmt formatCode="#,##0\ &quot;€/a&quot;" sourceLinked="1"/>
        <c:majorTickMark val="out"/>
        <c:minorTickMark val="none"/>
        <c:tickLblPos val="nextTo"/>
        <c:crossAx val="91714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95000"/>
        </a:schemeClr>
      </a:solidFill>
    </a:ln>
    <a:effectLst>
      <a:outerShdw blurRad="165100" dist="38100" dir="2700000" algn="tl" rotWithShape="0">
        <a:prstClr val="black"/>
      </a:outerShdw>
    </a:effectLst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152401</xdr:colOff>
      <xdr:row>3</xdr:row>
      <xdr:rowOff>76319</xdr:rowOff>
    </xdr:from>
    <xdr:to>
      <xdr:col>12</xdr:col>
      <xdr:colOff>95251</xdr:colOff>
      <xdr:row>7</xdr:row>
      <xdr:rowOff>123825</xdr:rowOff>
    </xdr:to>
    <xdr:pic>
      <xdr:nvPicPr>
        <xdr:cNvPr id="3" name="Grafik 2" descr="Logo BürgerWärme Bohmte e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5551" y="562094"/>
          <a:ext cx="2705100" cy="809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266698</xdr:colOff>
      <xdr:row>20</xdr:row>
      <xdr:rowOff>9524</xdr:rowOff>
    </xdr:from>
    <xdr:to>
      <xdr:col>18</xdr:col>
      <xdr:colOff>561974</xdr:colOff>
      <xdr:row>35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152400</xdr:rowOff>
    </xdr:from>
    <xdr:to>
      <xdr:col>18</xdr:col>
      <xdr:colOff>561976</xdr:colOff>
      <xdr:row>17</xdr:row>
      <xdr:rowOff>180976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limaktiv.klimaktiv-co2-rechner.de/de_DE/pag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42"/>
  <sheetViews>
    <sheetView showGridLines="0" tabSelected="1" zoomScaleNormal="100" workbookViewId="0">
      <selection activeCell="D6" sqref="D6"/>
    </sheetView>
  </sheetViews>
  <sheetFormatPr baseColWidth="10" defaultRowHeight="12.75" x14ac:dyDescent="0.2"/>
  <cols>
    <col min="1" max="1" width="3.7109375" customWidth="1"/>
    <col min="2" max="2" width="15.42578125" customWidth="1"/>
    <col min="3" max="3" width="11.5703125" customWidth="1"/>
    <col min="4" max="4" width="12.140625" customWidth="1"/>
    <col min="5" max="5" width="12" customWidth="1"/>
    <col min="6" max="6" width="15.28515625" customWidth="1"/>
    <col min="7" max="7" width="9.28515625" customWidth="1"/>
    <col min="9" max="10" width="10.42578125" customWidth="1"/>
    <col min="11" max="11" width="10.140625" customWidth="1"/>
    <col min="12" max="12" width="10.42578125" customWidth="1"/>
    <col min="13" max="13" width="15.42578125" bestFit="1" customWidth="1"/>
  </cols>
  <sheetData>
    <row r="5" spans="1:21" ht="15.75" x14ac:dyDescent="0.25">
      <c r="B5" s="3" t="s">
        <v>18</v>
      </c>
      <c r="C5" s="3"/>
    </row>
    <row r="6" spans="1:21" ht="15.75" x14ac:dyDescent="0.25">
      <c r="C6" s="21" t="s">
        <v>36</v>
      </c>
      <c r="D6" s="131">
        <v>2500</v>
      </c>
      <c r="E6" s="16" t="s">
        <v>11</v>
      </c>
      <c r="F6" s="168">
        <v>0</v>
      </c>
      <c r="G6" s="168"/>
      <c r="N6" s="167"/>
      <c r="O6" s="167"/>
    </row>
    <row r="7" spans="1:21" ht="15.75" x14ac:dyDescent="0.25">
      <c r="B7" s="24"/>
      <c r="C7" s="130" t="s">
        <v>38</v>
      </c>
      <c r="D7" s="152">
        <f>IF(D6&gt;0,D6*10.6*0.8,F6*0.9*0.8)</f>
        <v>21200</v>
      </c>
      <c r="E7" s="152"/>
      <c r="F7" s="132" t="s">
        <v>37</v>
      </c>
    </row>
    <row r="8" spans="1:21" ht="13.5" thickBot="1" x14ac:dyDescent="0.25">
      <c r="A8" s="1"/>
      <c r="K8" s="1"/>
      <c r="U8" s="1"/>
    </row>
    <row r="9" spans="1:21" x14ac:dyDescent="0.2">
      <c r="A9" s="1"/>
      <c r="B9" s="47"/>
      <c r="C9" s="48"/>
      <c r="D9" s="48"/>
      <c r="E9" s="48"/>
      <c r="F9" s="65"/>
      <c r="G9" s="169" t="s">
        <v>10</v>
      </c>
      <c r="H9" s="170"/>
      <c r="I9" s="169" t="s">
        <v>8</v>
      </c>
      <c r="J9" s="170"/>
      <c r="K9" s="173" t="s">
        <v>0</v>
      </c>
      <c r="L9" s="170"/>
      <c r="N9" s="5"/>
      <c r="O9" s="5"/>
      <c r="P9" s="5"/>
      <c r="Q9" s="5"/>
      <c r="R9" s="5"/>
      <c r="S9" s="5"/>
      <c r="T9" s="5"/>
    </row>
    <row r="10" spans="1:21" x14ac:dyDescent="0.2">
      <c r="A10" s="1"/>
      <c r="B10" s="49"/>
      <c r="C10" s="1"/>
      <c r="D10" s="1"/>
      <c r="E10" s="1"/>
      <c r="F10" s="2"/>
      <c r="G10" s="171"/>
      <c r="H10" s="172"/>
      <c r="I10" s="171"/>
      <c r="J10" s="172"/>
      <c r="K10" s="174"/>
      <c r="L10" s="172"/>
      <c r="N10" s="5"/>
      <c r="O10" s="5"/>
      <c r="P10" s="5"/>
      <c r="Q10" s="5"/>
      <c r="R10" s="5"/>
      <c r="S10" s="5"/>
      <c r="T10" s="5"/>
    </row>
    <row r="11" spans="1:21" ht="14.25" x14ac:dyDescent="0.2">
      <c r="A11" s="1"/>
      <c r="B11" s="50" t="s">
        <v>39</v>
      </c>
      <c r="C11" s="126"/>
      <c r="D11" s="43"/>
      <c r="E11" s="43"/>
      <c r="F11" s="66"/>
      <c r="G11" s="161">
        <f>D7/1700*700*1.19</f>
        <v>10388</v>
      </c>
      <c r="H11" s="154"/>
      <c r="I11" s="161">
        <f>D7/1700*600*1.19</f>
        <v>8904</v>
      </c>
      <c r="J11" s="154"/>
      <c r="K11" s="153">
        <v>4000</v>
      </c>
      <c r="L11" s="154"/>
      <c r="N11" s="151"/>
      <c r="O11" s="151"/>
      <c r="P11" s="151"/>
      <c r="Q11" s="151"/>
      <c r="R11" s="151"/>
      <c r="S11" s="151"/>
      <c r="T11" s="5"/>
    </row>
    <row r="12" spans="1:21" ht="14.25" x14ac:dyDescent="0.2">
      <c r="A12" s="5"/>
      <c r="B12" s="51"/>
      <c r="C12" s="5"/>
      <c r="D12" s="5"/>
      <c r="E12" s="5"/>
      <c r="F12" s="67"/>
      <c r="G12" s="59"/>
      <c r="H12" s="52"/>
      <c r="I12" s="60"/>
      <c r="J12" s="61"/>
      <c r="K12" s="35"/>
      <c r="L12" s="52"/>
      <c r="N12" s="5"/>
      <c r="O12" s="5"/>
      <c r="P12" s="5"/>
      <c r="Q12" s="5"/>
      <c r="R12" s="5"/>
      <c r="S12" s="5"/>
      <c r="T12" s="5"/>
    </row>
    <row r="13" spans="1:21" ht="14.25" x14ac:dyDescent="0.2">
      <c r="A13" s="1"/>
      <c r="B13" s="50" t="s">
        <v>9</v>
      </c>
      <c r="C13" s="126"/>
      <c r="D13" s="45">
        <v>10</v>
      </c>
      <c r="E13" s="46">
        <v>0.04</v>
      </c>
      <c r="F13" s="201">
        <f>((1+E13)^D13*E13)/((1+E13)^D13-1)</f>
        <v>0.1232909443301364</v>
      </c>
      <c r="G13" s="162">
        <f>F13*(G11)</f>
        <v>1280.7463297014569</v>
      </c>
      <c r="H13" s="156"/>
      <c r="I13" s="162">
        <f>F13*(I11)</f>
        <v>1097.7825683155345</v>
      </c>
      <c r="J13" s="156"/>
      <c r="K13" s="155">
        <f>K11*F13</f>
        <v>493.16377732054559</v>
      </c>
      <c r="L13" s="156"/>
    </row>
    <row r="14" spans="1:21" ht="14.25" x14ac:dyDescent="0.2">
      <c r="A14" s="5"/>
      <c r="B14" s="51"/>
      <c r="C14" s="5"/>
      <c r="D14" s="5"/>
      <c r="E14" s="5"/>
      <c r="F14" s="67"/>
      <c r="G14" s="59"/>
      <c r="H14" s="52"/>
      <c r="I14" s="60"/>
      <c r="J14" s="61"/>
      <c r="K14" s="35"/>
      <c r="L14" s="52"/>
    </row>
    <row r="15" spans="1:21" ht="14.25" x14ac:dyDescent="0.2">
      <c r="A15" s="5"/>
      <c r="B15" s="53" t="s">
        <v>13</v>
      </c>
      <c r="C15" s="44"/>
      <c r="D15" s="44"/>
      <c r="E15" s="44"/>
      <c r="F15" s="68" t="s">
        <v>14</v>
      </c>
      <c r="G15" s="166">
        <v>30</v>
      </c>
      <c r="H15" s="164"/>
      <c r="I15" s="166">
        <v>30</v>
      </c>
      <c r="J15" s="164"/>
      <c r="K15" s="163"/>
      <c r="L15" s="164"/>
    </row>
    <row r="16" spans="1:21" ht="14.25" x14ac:dyDescent="0.2">
      <c r="A16" s="5"/>
      <c r="B16" s="53"/>
      <c r="C16" s="44"/>
      <c r="D16" s="44"/>
      <c r="E16" s="44"/>
      <c r="F16" s="68" t="s">
        <v>16</v>
      </c>
      <c r="G16" s="159">
        <v>30</v>
      </c>
      <c r="H16" s="160"/>
      <c r="I16" s="159">
        <v>30</v>
      </c>
      <c r="J16" s="160"/>
      <c r="K16" s="165"/>
      <c r="L16" s="160"/>
    </row>
    <row r="17" spans="1:19" ht="14.25" x14ac:dyDescent="0.2">
      <c r="A17" s="5"/>
      <c r="B17" s="53"/>
      <c r="C17" s="44"/>
      <c r="D17" s="44"/>
      <c r="E17" s="44"/>
      <c r="F17" s="68" t="s">
        <v>15</v>
      </c>
      <c r="G17" s="157">
        <v>100</v>
      </c>
      <c r="H17" s="158"/>
      <c r="I17" s="157">
        <v>100</v>
      </c>
      <c r="J17" s="158"/>
      <c r="K17" s="179">
        <v>75</v>
      </c>
      <c r="L17" s="158"/>
    </row>
    <row r="18" spans="1:19" ht="14.25" x14ac:dyDescent="0.2">
      <c r="A18" s="1"/>
      <c r="B18" s="64" t="s">
        <v>1</v>
      </c>
      <c r="C18" s="41" t="s">
        <v>2</v>
      </c>
      <c r="D18" s="41" t="s">
        <v>2</v>
      </c>
      <c r="E18" s="41" t="s">
        <v>3</v>
      </c>
      <c r="F18" s="69" t="s">
        <v>4</v>
      </c>
      <c r="G18" s="59"/>
      <c r="H18" s="52"/>
      <c r="I18" s="60"/>
      <c r="J18" s="61"/>
      <c r="K18" s="35"/>
      <c r="L18" s="52"/>
    </row>
    <row r="19" spans="1:19" ht="14.25" x14ac:dyDescent="0.2">
      <c r="A19" s="1"/>
      <c r="B19" s="136" t="s">
        <v>10</v>
      </c>
      <c r="C19" s="133">
        <v>71</v>
      </c>
      <c r="D19" s="139">
        <f>C19*1.19</f>
        <v>84.49</v>
      </c>
      <c r="E19" s="149">
        <v>0</v>
      </c>
      <c r="F19" s="142">
        <f>D7/10.6/0.8</f>
        <v>2500</v>
      </c>
      <c r="G19" s="180">
        <f>(F19*D19)/100+E19</f>
        <v>2112.25</v>
      </c>
      <c r="H19" s="181"/>
      <c r="I19" s="62"/>
      <c r="J19" s="63"/>
      <c r="K19" s="37"/>
      <c r="L19" s="54"/>
    </row>
    <row r="20" spans="1:19" ht="14.25" x14ac:dyDescent="0.2">
      <c r="A20" s="1"/>
      <c r="B20" s="137" t="s">
        <v>8</v>
      </c>
      <c r="C20" s="134">
        <v>5.44</v>
      </c>
      <c r="D20" s="140">
        <f>C20*1.19</f>
        <v>6.4736000000000002</v>
      </c>
      <c r="E20" s="149">
        <v>83.3</v>
      </c>
      <c r="F20" s="143">
        <f>D7/0.9/0.8</f>
        <v>29444.444444444442</v>
      </c>
      <c r="G20" s="144"/>
      <c r="H20" s="145"/>
      <c r="I20" s="180">
        <f>(F20*D20)/100+E20</f>
        <v>1989.4155555555553</v>
      </c>
      <c r="J20" s="181"/>
      <c r="K20" s="42"/>
      <c r="L20" s="55"/>
    </row>
    <row r="21" spans="1:19" ht="15" thickBot="1" x14ac:dyDescent="0.25">
      <c r="A21" s="1"/>
      <c r="B21" s="138" t="s">
        <v>0</v>
      </c>
      <c r="C21" s="135">
        <f>IF(D7/1700&lt;20,6,IF(D7/1700&lt;40,5.95,IF(D7/1700&lt;100,5.85,IF(D7/1700&lt;250,5.7,5.55))))</f>
        <v>6</v>
      </c>
      <c r="D21" s="141">
        <f>C21*1.19</f>
        <v>7.14</v>
      </c>
      <c r="E21" s="150">
        <f>IF(D7/1700&lt;20,120*1.19,IF(D7/1700&lt;40,240*1.19,IF(D7/1700&lt;100,480*1.19,IF(D7/1700&lt;250,1200*1.19,2400*1.19))))</f>
        <v>142.79999999999998</v>
      </c>
      <c r="F21" s="146">
        <f>D7</f>
        <v>21200</v>
      </c>
      <c r="G21" s="147"/>
      <c r="H21" s="148"/>
      <c r="I21" s="147"/>
      <c r="J21" s="148"/>
      <c r="K21" s="182">
        <f>(D21*F21)/100+E21</f>
        <v>1656.48</v>
      </c>
      <c r="L21" s="183"/>
    </row>
    <row r="22" spans="1:19" ht="15" customHeight="1" x14ac:dyDescent="0.2">
      <c r="A22" s="1"/>
      <c r="B22" s="49"/>
      <c r="C22" s="128" t="s">
        <v>24</v>
      </c>
      <c r="D22" s="129" t="s">
        <v>35</v>
      </c>
      <c r="E22" s="129" t="s">
        <v>35</v>
      </c>
      <c r="F22" s="2"/>
      <c r="G22" s="184">
        <f>SUM(G13:H21)</f>
        <v>3552.9963297014569</v>
      </c>
      <c r="H22" s="185"/>
      <c r="I22" s="188">
        <f>SUM(I13:J21)</f>
        <v>3247.1981238710896</v>
      </c>
      <c r="J22" s="189"/>
      <c r="K22" s="184">
        <f>SUM(K13:L21)</f>
        <v>2224.6437773205457</v>
      </c>
      <c r="L22" s="185"/>
    </row>
    <row r="23" spans="1:19" ht="13.5" thickBot="1" x14ac:dyDescent="0.25">
      <c r="A23" s="1"/>
      <c r="B23" s="56"/>
      <c r="C23" s="57"/>
      <c r="D23" s="57"/>
      <c r="E23" s="57"/>
      <c r="F23" s="58"/>
      <c r="G23" s="186"/>
      <c r="H23" s="187"/>
      <c r="I23" s="186"/>
      <c r="J23" s="187"/>
      <c r="K23" s="186"/>
      <c r="L23" s="187"/>
      <c r="M23" s="5"/>
      <c r="N23" s="5"/>
      <c r="O23" s="5"/>
      <c r="P23" s="5"/>
      <c r="Q23" s="5"/>
      <c r="R23" s="5"/>
      <c r="S23" s="5"/>
    </row>
    <row r="24" spans="1:19" ht="13.5" thickBot="1" x14ac:dyDescent="0.25">
      <c r="A24" s="1"/>
      <c r="B24" s="70" t="s">
        <v>6</v>
      </c>
      <c r="C24" s="127"/>
      <c r="D24" s="71"/>
      <c r="E24" s="71"/>
      <c r="F24" s="72" t="s">
        <v>7</v>
      </c>
      <c r="G24" s="175">
        <f>F19/330</f>
        <v>7.5757575757575761</v>
      </c>
      <c r="H24" s="175"/>
      <c r="I24" s="176">
        <f>F20/4630</f>
        <v>6.3594912407007431</v>
      </c>
      <c r="J24" s="177"/>
      <c r="K24" s="175">
        <f>F21/8333</f>
        <v>2.5441017640705628</v>
      </c>
      <c r="L24" s="178"/>
      <c r="M24" s="5"/>
      <c r="N24" s="5"/>
      <c r="O24" s="5"/>
      <c r="P24" s="5"/>
      <c r="Q24" s="5"/>
      <c r="R24" s="5"/>
      <c r="S24" s="5"/>
    </row>
    <row r="25" spans="1:19" x14ac:dyDescent="0.2"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">
      <c r="B26" s="15" t="s">
        <v>12</v>
      </c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">
      <c r="B27" s="15" t="s">
        <v>5</v>
      </c>
      <c r="C27" s="1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5" x14ac:dyDescent="0.2">
      <c r="C28" s="15"/>
      <c r="D28" s="5"/>
      <c r="E28" s="5"/>
      <c r="F28" s="5"/>
      <c r="G28" s="5"/>
      <c r="H28" s="5"/>
      <c r="I28" s="5"/>
      <c r="J28" s="5"/>
      <c r="K28" s="5"/>
      <c r="L28" s="5"/>
      <c r="M28" s="10"/>
      <c r="N28" s="5"/>
      <c r="O28" s="5"/>
      <c r="P28" s="5"/>
      <c r="Q28" s="5"/>
      <c r="R28" s="5"/>
      <c r="S28" s="5"/>
    </row>
    <row r="29" spans="1:19" x14ac:dyDescent="0.2">
      <c r="B29" s="22" t="s">
        <v>17</v>
      </c>
      <c r="M29" s="5"/>
      <c r="N29" s="5"/>
      <c r="O29" s="5"/>
      <c r="P29" s="5"/>
      <c r="Q29" s="5"/>
      <c r="R29" s="5"/>
      <c r="S29" s="5"/>
    </row>
    <row r="30" spans="1:19" x14ac:dyDescent="0.2">
      <c r="M30" s="5"/>
      <c r="N30" s="5"/>
      <c r="O30" s="5"/>
      <c r="P30" s="5"/>
      <c r="Q30" s="5"/>
      <c r="R30" s="5"/>
      <c r="S30" s="5"/>
    </row>
    <row r="31" spans="1:19" x14ac:dyDescent="0.2">
      <c r="M31" s="5"/>
      <c r="N31" s="5"/>
      <c r="O31" s="5"/>
      <c r="P31" s="5"/>
      <c r="Q31" s="5"/>
      <c r="R31" s="5"/>
      <c r="S31" s="5"/>
    </row>
    <row r="32" spans="1:19" x14ac:dyDescent="0.2">
      <c r="M32" s="5"/>
      <c r="N32" s="5"/>
      <c r="O32" s="5"/>
      <c r="P32" s="5"/>
      <c r="Q32" s="5"/>
      <c r="R32" s="5"/>
      <c r="S32" s="5"/>
    </row>
    <row r="33" spans="1:19" x14ac:dyDescent="0.2"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">
      <c r="C34" s="22"/>
      <c r="J34" s="11"/>
      <c r="K34" s="5"/>
      <c r="L34" s="12"/>
      <c r="M34" s="14"/>
      <c r="N34" s="5"/>
      <c r="O34" s="5"/>
      <c r="P34" s="5"/>
      <c r="Q34" s="5"/>
      <c r="R34" s="5"/>
      <c r="S34" s="5"/>
    </row>
    <row r="35" spans="1:19" x14ac:dyDescent="0.2"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">
      <c r="A36" s="5"/>
      <c r="B36" s="5"/>
      <c r="C36" s="5"/>
      <c r="D36" s="5"/>
      <c r="E36" s="5"/>
      <c r="F36" s="5"/>
      <c r="G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">
      <c r="A37" s="5"/>
      <c r="B37" s="5"/>
      <c r="C37" s="5"/>
      <c r="D37" s="5"/>
      <c r="E37" s="5"/>
      <c r="F37" s="5"/>
      <c r="G37" s="5"/>
      <c r="M37" s="5"/>
      <c r="N37" s="5"/>
      <c r="O37" s="5"/>
      <c r="P37" s="5"/>
      <c r="Q37" s="5"/>
      <c r="R37" s="5"/>
      <c r="S37" s="5"/>
    </row>
    <row r="38" spans="1:19" x14ac:dyDescent="0.2">
      <c r="A38" s="4"/>
      <c r="B38" s="4"/>
      <c r="C38" s="4"/>
      <c r="D38" s="17"/>
      <c r="E38" s="17"/>
      <c r="F38" s="17"/>
      <c r="G38" s="5"/>
    </row>
    <row r="39" spans="1:19" x14ac:dyDescent="0.2">
      <c r="A39" s="11"/>
      <c r="B39" s="18"/>
      <c r="C39" s="18"/>
      <c r="D39" s="12"/>
      <c r="E39" s="13"/>
      <c r="F39" s="14"/>
      <c r="G39" s="5"/>
    </row>
    <row r="40" spans="1:19" x14ac:dyDescent="0.2">
      <c r="A40" s="11"/>
      <c r="B40" s="19"/>
      <c r="C40" s="19"/>
      <c r="D40" s="12"/>
      <c r="E40" s="13"/>
      <c r="F40" s="14"/>
      <c r="G40" s="5"/>
    </row>
    <row r="41" spans="1:19" x14ac:dyDescent="0.2">
      <c r="A41" s="11"/>
      <c r="B41" s="20"/>
      <c r="C41" s="20"/>
      <c r="D41" s="12"/>
      <c r="E41" s="13"/>
      <c r="F41" s="14"/>
      <c r="G41" s="5"/>
    </row>
    <row r="42" spans="1:19" x14ac:dyDescent="0.2">
      <c r="A42" s="5"/>
      <c r="B42" s="5"/>
      <c r="C42" s="5"/>
      <c r="D42" s="5"/>
      <c r="E42" s="5"/>
      <c r="F42" s="5"/>
      <c r="G42" s="5"/>
    </row>
  </sheetData>
  <sheetProtection password="C550" sheet="1" objects="1" scenarios="1"/>
  <protectedRanges>
    <protectedRange sqref="D6 F6:G6" name="Verbrauchseingabe"/>
  </protectedRanges>
  <mergeCells count="33">
    <mergeCell ref="G24:H24"/>
    <mergeCell ref="I24:J24"/>
    <mergeCell ref="K24:L24"/>
    <mergeCell ref="K17:L17"/>
    <mergeCell ref="I17:J17"/>
    <mergeCell ref="G19:H19"/>
    <mergeCell ref="I20:J20"/>
    <mergeCell ref="K21:L21"/>
    <mergeCell ref="G22:H23"/>
    <mergeCell ref="I22:J23"/>
    <mergeCell ref="K22:L23"/>
    <mergeCell ref="N6:O6"/>
    <mergeCell ref="F6:G6"/>
    <mergeCell ref="G9:H10"/>
    <mergeCell ref="I9:J10"/>
    <mergeCell ref="K9:L10"/>
    <mergeCell ref="K13:L13"/>
    <mergeCell ref="G17:H17"/>
    <mergeCell ref="G16:H16"/>
    <mergeCell ref="I11:J11"/>
    <mergeCell ref="I13:J13"/>
    <mergeCell ref="G11:H11"/>
    <mergeCell ref="G13:H13"/>
    <mergeCell ref="K15:L15"/>
    <mergeCell ref="K16:L16"/>
    <mergeCell ref="I16:J16"/>
    <mergeCell ref="I15:J15"/>
    <mergeCell ref="G15:H15"/>
    <mergeCell ref="N11:O11"/>
    <mergeCell ref="P11:Q11"/>
    <mergeCell ref="R11:S11"/>
    <mergeCell ref="D7:E7"/>
    <mergeCell ref="K11:L11"/>
  </mergeCells>
  <phoneticPr fontId="0" type="noConversion"/>
  <hyperlinks>
    <hyperlink ref="B29" r:id="rId1"/>
  </hyperlinks>
  <pageMargins left="0.78740157480314965" right="0.78740157480314965" top="0.47244094488188981" bottom="0.47244094488188981" header="0.51181102362204722" footer="0.5118110236220472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5"/>
  <sheetViews>
    <sheetView zoomScale="120" zoomScaleNormal="120" workbookViewId="0">
      <selection activeCell="L14" sqref="L14"/>
    </sheetView>
  </sheetViews>
  <sheetFormatPr baseColWidth="10" defaultRowHeight="12.75" x14ac:dyDescent="0.2"/>
  <cols>
    <col min="4" max="4" width="13.28515625" bestFit="1" customWidth="1"/>
    <col min="5" max="6" width="13.7109375" customWidth="1"/>
    <col min="7" max="7" width="12.28515625" bestFit="1" customWidth="1"/>
    <col min="8" max="8" width="12.28515625" customWidth="1"/>
    <col min="9" max="9" width="11.7109375" customWidth="1"/>
  </cols>
  <sheetData>
    <row r="6" spans="2:13" x14ac:dyDescent="0.2">
      <c r="C6" s="101" t="s">
        <v>23</v>
      </c>
      <c r="D6" s="102">
        <f>D7/1.19</f>
        <v>6.6386554621848743</v>
      </c>
      <c r="E6" s="103" t="s">
        <v>24</v>
      </c>
      <c r="F6" s="103"/>
    </row>
    <row r="7" spans="2:13" x14ac:dyDescent="0.2">
      <c r="C7" s="101" t="s">
        <v>23</v>
      </c>
      <c r="D7" s="104">
        <v>7.9</v>
      </c>
      <c r="E7" s="103" t="s">
        <v>25</v>
      </c>
      <c r="F7" s="103"/>
      <c r="L7" s="5"/>
      <c r="M7" s="5"/>
    </row>
    <row r="8" spans="2:13" ht="12.75" customHeight="1" x14ac:dyDescent="1.1499999999999999">
      <c r="L8" s="105"/>
      <c r="M8" s="105"/>
    </row>
    <row r="9" spans="2:13" ht="12.75" customHeight="1" x14ac:dyDescent="1.1499999999999999">
      <c r="B9" s="5"/>
      <c r="C9" s="5"/>
      <c r="D9" s="5"/>
      <c r="E9" s="5"/>
      <c r="F9" s="5"/>
      <c r="L9" s="105"/>
      <c r="M9" s="105"/>
    </row>
    <row r="10" spans="2:13" ht="12.75" customHeight="1" x14ac:dyDescent="1.1499999999999999">
      <c r="B10" s="17"/>
      <c r="C10" s="17"/>
      <c r="F10" s="106">
        <v>1800</v>
      </c>
      <c r="L10" s="105"/>
      <c r="M10" s="105"/>
    </row>
    <row r="11" spans="2:13" s="108" customFormat="1" ht="48" customHeight="1" x14ac:dyDescent="1.1499999999999999">
      <c r="B11" s="121"/>
      <c r="C11" s="122" t="s">
        <v>26</v>
      </c>
      <c r="D11" s="123" t="s">
        <v>27</v>
      </c>
      <c r="E11" s="124" t="s">
        <v>28</v>
      </c>
      <c r="F11" s="124" t="s">
        <v>29</v>
      </c>
      <c r="G11" s="124" t="s">
        <v>30</v>
      </c>
      <c r="H11" s="124" t="s">
        <v>31</v>
      </c>
      <c r="I11" s="124" t="s">
        <v>32</v>
      </c>
      <c r="J11" s="125" t="s">
        <v>33</v>
      </c>
      <c r="K11" s="107"/>
      <c r="L11" s="105"/>
      <c r="M11" s="105"/>
    </row>
    <row r="12" spans="2:13" x14ac:dyDescent="0.2">
      <c r="B12" s="12" t="s">
        <v>34</v>
      </c>
      <c r="C12" s="113">
        <v>20</v>
      </c>
      <c r="D12" s="117">
        <v>120</v>
      </c>
      <c r="E12" s="116">
        <f>F12*$D$6/100</f>
        <v>2389.9159663865548</v>
      </c>
      <c r="F12" s="118">
        <f>$F$10*C12</f>
        <v>36000</v>
      </c>
      <c r="G12" s="116">
        <f>E12+D12</f>
        <v>2509.9159663865548</v>
      </c>
      <c r="H12" s="116">
        <f>G12*1.19</f>
        <v>2986.8</v>
      </c>
      <c r="I12" s="119">
        <f>G12/(F12)</f>
        <v>6.971988795518208E-2</v>
      </c>
      <c r="J12" s="120">
        <f>I12*1.19</f>
        <v>8.2966666666666675E-2</v>
      </c>
      <c r="L12" s="109"/>
      <c r="M12" s="109"/>
    </row>
    <row r="13" spans="2:13" x14ac:dyDescent="0.2">
      <c r="B13" s="12" t="s">
        <v>34</v>
      </c>
      <c r="C13" s="113">
        <v>50</v>
      </c>
      <c r="D13" s="117">
        <v>240</v>
      </c>
      <c r="E13" s="116">
        <f t="shared" ref="E13:E16" si="0">F13*$D$6/100</f>
        <v>5974.7899159663866</v>
      </c>
      <c r="F13" s="118">
        <f t="shared" ref="F13:F16" si="1">$F$10*C13</f>
        <v>90000</v>
      </c>
      <c r="G13" s="116">
        <f>E13+D13</f>
        <v>6214.7899159663866</v>
      </c>
      <c r="H13" s="116">
        <f t="shared" ref="H13:H16" si="2">G13*1.19</f>
        <v>7395.5999999999995</v>
      </c>
      <c r="I13" s="119">
        <f t="shared" ref="I13:I16" si="3">G13/(F13)</f>
        <v>6.9053221288515404E-2</v>
      </c>
      <c r="J13" s="120">
        <f t="shared" ref="J13:J16" si="4">I13*1.19</f>
        <v>8.217333333333332E-2</v>
      </c>
      <c r="L13" s="109"/>
      <c r="M13" s="109"/>
    </row>
    <row r="14" spans="2:13" x14ac:dyDescent="0.2">
      <c r="B14" s="12" t="s">
        <v>34</v>
      </c>
      <c r="C14" s="114">
        <v>100</v>
      </c>
      <c r="D14" s="117">
        <v>480</v>
      </c>
      <c r="E14" s="116">
        <f t="shared" si="0"/>
        <v>11949.579831932773</v>
      </c>
      <c r="F14" s="118">
        <f t="shared" si="1"/>
        <v>180000</v>
      </c>
      <c r="G14" s="116">
        <f>E14+D14</f>
        <v>12429.579831932773</v>
      </c>
      <c r="H14" s="116">
        <f t="shared" si="2"/>
        <v>14791.199999999999</v>
      </c>
      <c r="I14" s="119">
        <f t="shared" si="3"/>
        <v>6.9053221288515404E-2</v>
      </c>
      <c r="J14" s="120">
        <f t="shared" si="4"/>
        <v>8.217333333333332E-2</v>
      </c>
      <c r="L14" s="109"/>
      <c r="M14" s="109"/>
    </row>
    <row r="15" spans="2:13" x14ac:dyDescent="0.2">
      <c r="B15" s="12" t="s">
        <v>34</v>
      </c>
      <c r="C15" s="115">
        <v>250</v>
      </c>
      <c r="D15" s="117">
        <v>1200</v>
      </c>
      <c r="E15" s="116">
        <f t="shared" si="0"/>
        <v>29873.949579831933</v>
      </c>
      <c r="F15" s="118">
        <f t="shared" si="1"/>
        <v>450000</v>
      </c>
      <c r="G15" s="116">
        <f>E15+D15</f>
        <v>31073.949579831933</v>
      </c>
      <c r="H15" s="116">
        <f t="shared" si="2"/>
        <v>36978</v>
      </c>
      <c r="I15" s="119">
        <f t="shared" si="3"/>
        <v>6.9053221288515404E-2</v>
      </c>
      <c r="J15" s="120">
        <f t="shared" si="4"/>
        <v>8.217333333333332E-2</v>
      </c>
      <c r="L15" s="109"/>
      <c r="M15" s="109"/>
    </row>
    <row r="16" spans="2:13" x14ac:dyDescent="0.2">
      <c r="B16" s="110"/>
      <c r="C16" s="115">
        <v>500</v>
      </c>
      <c r="D16" s="117">
        <v>2400</v>
      </c>
      <c r="E16" s="116">
        <f t="shared" si="0"/>
        <v>59747.899159663866</v>
      </c>
      <c r="F16" s="118">
        <f t="shared" si="1"/>
        <v>900000</v>
      </c>
      <c r="G16" s="116">
        <f>E16+D16</f>
        <v>62147.899159663866</v>
      </c>
      <c r="H16" s="116">
        <f t="shared" si="2"/>
        <v>73956</v>
      </c>
      <c r="I16" s="119">
        <f t="shared" si="3"/>
        <v>6.9053221288515404E-2</v>
      </c>
      <c r="J16" s="120">
        <f t="shared" si="4"/>
        <v>8.217333333333332E-2</v>
      </c>
      <c r="L16" s="109"/>
      <c r="M16" s="109"/>
    </row>
    <row r="17" spans="3:13" x14ac:dyDescent="0.2">
      <c r="C17" s="111"/>
      <c r="D17" s="111"/>
      <c r="L17" s="5"/>
      <c r="M17" s="5"/>
    </row>
    <row r="18" spans="3:13" x14ac:dyDescent="0.2">
      <c r="C18" s="111"/>
      <c r="D18" s="111"/>
      <c r="L18" s="5"/>
      <c r="M18" s="5"/>
    </row>
    <row r="19" spans="3:13" x14ac:dyDescent="0.2">
      <c r="C19" s="111"/>
      <c r="D19" s="111"/>
      <c r="L19" s="5"/>
      <c r="M19" s="5"/>
    </row>
    <row r="20" spans="3:13" x14ac:dyDescent="0.2">
      <c r="C20" s="111"/>
      <c r="D20" s="111"/>
      <c r="L20" s="5"/>
      <c r="M20" s="5"/>
    </row>
    <row r="21" spans="3:13" x14ac:dyDescent="0.2">
      <c r="C21" s="111"/>
      <c r="D21" s="111"/>
      <c r="L21" s="112"/>
      <c r="M21" s="5"/>
    </row>
    <row r="22" spans="3:13" x14ac:dyDescent="0.2">
      <c r="L22" s="5"/>
      <c r="M22" s="5"/>
    </row>
    <row r="23" spans="3:13" x14ac:dyDescent="0.2">
      <c r="L23" s="5"/>
      <c r="M23" s="5"/>
    </row>
    <row r="24" spans="3:13" x14ac:dyDescent="0.2">
      <c r="L24" s="5"/>
      <c r="M24" s="5"/>
    </row>
    <row r="25" spans="3:13" x14ac:dyDescent="0.2">
      <c r="L25" s="5"/>
      <c r="M25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Normal="100" workbookViewId="0">
      <selection activeCell="I33" sqref="I33"/>
    </sheetView>
  </sheetViews>
  <sheetFormatPr baseColWidth="10" defaultRowHeight="12.75" x14ac:dyDescent="0.2"/>
  <cols>
    <col min="1" max="1" width="3" customWidth="1"/>
    <col min="2" max="2" width="12.42578125" customWidth="1"/>
    <col min="3" max="3" width="9.7109375" customWidth="1"/>
    <col min="4" max="4" width="3" customWidth="1"/>
    <col min="5" max="5" width="14" customWidth="1"/>
    <col min="6" max="6" width="9.7109375" customWidth="1"/>
    <col min="7" max="7" width="2.42578125" customWidth="1"/>
    <col min="8" max="8" width="14.28515625" customWidth="1"/>
    <col min="9" max="9" width="9.42578125" customWidth="1"/>
    <col min="10" max="10" width="4.140625" customWidth="1"/>
    <col min="11" max="11" width="4" customWidth="1"/>
    <col min="13" max="14" width="10.42578125" customWidth="1"/>
    <col min="15" max="15" width="10.140625" customWidth="1"/>
    <col min="16" max="16" width="10.42578125" customWidth="1"/>
    <col min="17" max="17" width="3.85546875" customWidth="1"/>
    <col min="18" max="18" width="15.42578125" bestFit="1" customWidth="1"/>
  </cols>
  <sheetData>
    <row r="1" spans="1:26" ht="23.25" x14ac:dyDescent="0.35">
      <c r="A1" s="190" t="s">
        <v>19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26" ht="23.25" x14ac:dyDescent="0.35">
      <c r="B2" s="33"/>
    </row>
    <row r="3" spans="1:26" ht="15" x14ac:dyDescent="0.25">
      <c r="B3" s="37"/>
      <c r="C3" s="200" t="s">
        <v>20</v>
      </c>
      <c r="D3" s="200"/>
      <c r="E3" s="39" t="s">
        <v>21</v>
      </c>
      <c r="F3" s="200" t="s">
        <v>3</v>
      </c>
      <c r="G3" s="200"/>
      <c r="H3" s="32"/>
      <c r="I3" s="32"/>
    </row>
    <row r="4" spans="1:26" ht="15" x14ac:dyDescent="0.25">
      <c r="A4" s="1"/>
      <c r="B4" s="38" t="s">
        <v>10</v>
      </c>
      <c r="C4" s="191">
        <v>74</v>
      </c>
      <c r="D4" s="192"/>
      <c r="E4" s="98">
        <f>C4*1.19</f>
        <v>88.06</v>
      </c>
      <c r="F4" s="197">
        <v>0</v>
      </c>
      <c r="G4" s="197"/>
      <c r="H4" s="37"/>
      <c r="I4" s="32"/>
    </row>
    <row r="5" spans="1:26" ht="15" x14ac:dyDescent="0.25">
      <c r="A5" s="5"/>
      <c r="B5" s="38" t="s">
        <v>8</v>
      </c>
      <c r="C5" s="193">
        <v>5.44</v>
      </c>
      <c r="D5" s="194"/>
      <c r="E5" s="99">
        <f>C5*1.19</f>
        <v>6.4736000000000002</v>
      </c>
      <c r="F5" s="198">
        <v>83</v>
      </c>
      <c r="G5" s="198"/>
      <c r="H5" s="37"/>
      <c r="I5" s="32"/>
      <c r="M5" s="5"/>
      <c r="N5" s="5"/>
      <c r="O5" s="5"/>
      <c r="P5" s="5"/>
    </row>
    <row r="6" spans="1:26" ht="15" x14ac:dyDescent="0.25">
      <c r="A6" s="5"/>
      <c r="B6" s="31" t="s">
        <v>0</v>
      </c>
      <c r="C6" s="195">
        <v>6.64</v>
      </c>
      <c r="D6" s="196"/>
      <c r="E6" s="100">
        <f>C6*1.19</f>
        <v>7.9015999999999993</v>
      </c>
      <c r="F6" s="199">
        <f>120*1.19</f>
        <v>142.79999999999998</v>
      </c>
      <c r="G6" s="199"/>
      <c r="H6" s="37"/>
      <c r="I6" s="32"/>
      <c r="M6" s="5"/>
      <c r="N6" s="5"/>
      <c r="O6" s="5"/>
      <c r="P6" s="5"/>
    </row>
    <row r="7" spans="1:26" ht="14.25" x14ac:dyDescent="0.2">
      <c r="A7" s="5"/>
      <c r="B7" s="37"/>
      <c r="C7" s="37"/>
      <c r="D7" s="37"/>
      <c r="E7" s="37"/>
      <c r="F7" s="37"/>
      <c r="G7" s="37"/>
      <c r="H7" s="32"/>
      <c r="I7" s="32"/>
      <c r="L7" s="5"/>
      <c r="M7" s="5"/>
      <c r="N7" s="5"/>
      <c r="O7" s="5"/>
      <c r="P7" s="5"/>
    </row>
    <row r="8" spans="1:26" x14ac:dyDescent="0.2">
      <c r="A8" s="5"/>
      <c r="M8" s="5"/>
      <c r="N8" s="5"/>
      <c r="O8" s="5"/>
      <c r="P8" s="5"/>
    </row>
    <row r="9" spans="1:26" ht="13.5" thickBot="1" x14ac:dyDescent="0.25">
      <c r="A9" s="5"/>
      <c r="K9" s="1"/>
      <c r="L9" s="5"/>
      <c r="M9" s="5"/>
      <c r="N9" s="5"/>
      <c r="O9" s="5"/>
      <c r="P9" s="5"/>
      <c r="Z9" s="1"/>
    </row>
    <row r="10" spans="1:26" ht="15.75" thickBot="1" x14ac:dyDescent="0.25">
      <c r="A10" s="5"/>
      <c r="B10" s="95" t="s">
        <v>10</v>
      </c>
      <c r="C10" s="97" t="s">
        <v>22</v>
      </c>
      <c r="D10" s="34"/>
      <c r="E10" s="95" t="s">
        <v>8</v>
      </c>
      <c r="F10" s="97" t="s">
        <v>22</v>
      </c>
      <c r="G10" s="34"/>
      <c r="H10" s="96" t="s">
        <v>0</v>
      </c>
      <c r="I10" s="97" t="s">
        <v>22</v>
      </c>
      <c r="J10" s="1"/>
      <c r="L10" s="5"/>
      <c r="M10" s="25"/>
      <c r="N10" s="25"/>
      <c r="O10" s="25"/>
      <c r="P10" s="25"/>
      <c r="Q10" s="4"/>
    </row>
    <row r="11" spans="1:26" ht="15" thickBot="1" x14ac:dyDescent="0.25">
      <c r="A11" s="5"/>
      <c r="B11" s="35"/>
      <c r="C11" s="35"/>
      <c r="D11" s="35"/>
      <c r="E11" s="35"/>
      <c r="F11" s="35"/>
      <c r="G11" s="35"/>
      <c r="H11" s="37"/>
      <c r="I11" s="37"/>
      <c r="J11" s="1"/>
      <c r="M11" s="23"/>
      <c r="N11" s="23"/>
      <c r="O11" s="5"/>
      <c r="P11" s="5"/>
      <c r="Q11" s="5"/>
    </row>
    <row r="12" spans="1:26" ht="15" x14ac:dyDescent="0.25">
      <c r="A12" s="5"/>
      <c r="B12" s="94">
        <v>1000</v>
      </c>
      <c r="C12" s="83">
        <f t="shared" ref="C12:C18" si="0">(B12*$E$4)/100+$F$4</f>
        <v>880.6</v>
      </c>
      <c r="D12" s="36"/>
      <c r="E12" s="92">
        <f t="shared" ref="E12:E18" si="1">H12/0.9/0.8</f>
        <v>11777.777777777777</v>
      </c>
      <c r="F12" s="83">
        <f t="shared" ref="F12:F18" si="2">(E12*$E$5)/100+$F$5</f>
        <v>845.44622222222233</v>
      </c>
      <c r="G12" s="36"/>
      <c r="H12" s="92">
        <f t="shared" ref="H12:H18" si="3">B12*10.6*0.8</f>
        <v>8480</v>
      </c>
      <c r="I12" s="83">
        <f t="shared" ref="I12:I18" si="4">(H12*$E$6)/100+$F$6</f>
        <v>812.85567999999989</v>
      </c>
      <c r="J12" s="1"/>
      <c r="M12" s="26"/>
      <c r="N12" s="26"/>
      <c r="O12" s="26"/>
      <c r="P12" s="26"/>
      <c r="Q12" s="6"/>
    </row>
    <row r="13" spans="1:26" ht="15" x14ac:dyDescent="0.25">
      <c r="A13" s="5"/>
      <c r="B13" s="75">
        <v>1500</v>
      </c>
      <c r="C13" s="76">
        <f t="shared" si="0"/>
        <v>1320.9</v>
      </c>
      <c r="D13" s="36"/>
      <c r="E13" s="80">
        <f t="shared" si="1"/>
        <v>17666.666666666664</v>
      </c>
      <c r="F13" s="76">
        <f t="shared" si="2"/>
        <v>1226.6693333333333</v>
      </c>
      <c r="G13" s="36"/>
      <c r="H13" s="80">
        <f t="shared" si="3"/>
        <v>12720</v>
      </c>
      <c r="I13" s="76">
        <f t="shared" si="4"/>
        <v>1147.8835199999999</v>
      </c>
      <c r="J13" s="1"/>
      <c r="M13" s="23"/>
      <c r="N13" s="23"/>
      <c r="O13" s="5"/>
      <c r="P13" s="5"/>
      <c r="Q13" s="5"/>
    </row>
    <row r="14" spans="1:26" ht="15" x14ac:dyDescent="0.25">
      <c r="A14" s="5"/>
      <c r="B14" s="73">
        <v>2000</v>
      </c>
      <c r="C14" s="74">
        <f t="shared" si="0"/>
        <v>1761.2</v>
      </c>
      <c r="D14" s="36"/>
      <c r="E14" s="79">
        <f t="shared" si="1"/>
        <v>23555.555555555555</v>
      </c>
      <c r="F14" s="74">
        <f t="shared" si="2"/>
        <v>1607.8924444444447</v>
      </c>
      <c r="G14" s="36"/>
      <c r="H14" s="79">
        <f t="shared" si="3"/>
        <v>16960</v>
      </c>
      <c r="I14" s="74">
        <f t="shared" si="4"/>
        <v>1482.9113599999998</v>
      </c>
      <c r="J14" s="1"/>
      <c r="M14" s="27"/>
      <c r="N14" s="27"/>
      <c r="O14" s="27"/>
      <c r="P14" s="27"/>
      <c r="Q14" s="7"/>
    </row>
    <row r="15" spans="1:26" ht="15" x14ac:dyDescent="0.25">
      <c r="A15" s="5"/>
      <c r="B15" s="73">
        <v>2500</v>
      </c>
      <c r="C15" s="74">
        <f t="shared" si="0"/>
        <v>2201.5</v>
      </c>
      <c r="D15" s="36"/>
      <c r="E15" s="79">
        <f t="shared" si="1"/>
        <v>29444.444444444442</v>
      </c>
      <c r="F15" s="74">
        <f t="shared" si="2"/>
        <v>1989.1155555555554</v>
      </c>
      <c r="G15" s="36"/>
      <c r="H15" s="79">
        <f t="shared" si="3"/>
        <v>21200</v>
      </c>
      <c r="I15" s="74">
        <f t="shared" si="4"/>
        <v>1817.9391999999998</v>
      </c>
      <c r="J15" s="1"/>
      <c r="M15" s="23"/>
      <c r="N15" s="23"/>
      <c r="O15" s="5"/>
      <c r="P15" s="5"/>
      <c r="Q15" s="5"/>
    </row>
    <row r="16" spans="1:26" ht="15" x14ac:dyDescent="0.25">
      <c r="A16" s="5"/>
      <c r="B16" s="75">
        <v>3000</v>
      </c>
      <c r="C16" s="76">
        <f t="shared" si="0"/>
        <v>2641.8</v>
      </c>
      <c r="D16" s="36"/>
      <c r="E16" s="80">
        <f t="shared" si="1"/>
        <v>35333.333333333328</v>
      </c>
      <c r="F16" s="76">
        <f t="shared" si="2"/>
        <v>2370.3386666666665</v>
      </c>
      <c r="G16" s="36"/>
      <c r="H16" s="80">
        <f t="shared" si="3"/>
        <v>25440</v>
      </c>
      <c r="I16" s="76">
        <f t="shared" si="4"/>
        <v>2152.9670399999995</v>
      </c>
      <c r="J16" s="1"/>
      <c r="M16" s="27"/>
      <c r="N16" s="27"/>
      <c r="O16" s="27"/>
      <c r="P16" s="27"/>
      <c r="Q16" s="7"/>
    </row>
    <row r="17" spans="1:24" ht="15" x14ac:dyDescent="0.25">
      <c r="A17" s="5"/>
      <c r="B17" s="73">
        <v>3500</v>
      </c>
      <c r="C17" s="74">
        <f t="shared" si="0"/>
        <v>3082.1</v>
      </c>
      <c r="D17" s="36"/>
      <c r="E17" s="79">
        <f t="shared" si="1"/>
        <v>41222.222222222212</v>
      </c>
      <c r="F17" s="74">
        <f t="shared" si="2"/>
        <v>2751.561777777777</v>
      </c>
      <c r="G17" s="36"/>
      <c r="H17" s="79">
        <f t="shared" si="3"/>
        <v>29680</v>
      </c>
      <c r="I17" s="74">
        <f t="shared" si="4"/>
        <v>2487.9948800000002</v>
      </c>
      <c r="J17" s="1"/>
      <c r="M17" s="28"/>
      <c r="N17" s="28"/>
      <c r="O17" s="5"/>
      <c r="P17" s="5"/>
      <c r="Q17" s="5"/>
    </row>
    <row r="18" spans="1:24" ht="15.75" thickBot="1" x14ac:dyDescent="0.3">
      <c r="A18" s="5"/>
      <c r="B18" s="77">
        <v>4000</v>
      </c>
      <c r="C18" s="78">
        <f t="shared" si="0"/>
        <v>3522.4</v>
      </c>
      <c r="D18" s="36"/>
      <c r="E18" s="81">
        <f t="shared" si="1"/>
        <v>47111.111111111109</v>
      </c>
      <c r="F18" s="78">
        <f t="shared" si="2"/>
        <v>3132.7848888888893</v>
      </c>
      <c r="G18" s="36"/>
      <c r="H18" s="81">
        <f t="shared" si="3"/>
        <v>33920</v>
      </c>
      <c r="I18" s="78">
        <f t="shared" si="4"/>
        <v>2823.0227199999999</v>
      </c>
      <c r="J18" s="1"/>
      <c r="M18" s="28"/>
      <c r="N18" s="28"/>
      <c r="O18" s="5"/>
      <c r="P18" s="5"/>
      <c r="Q18" s="5"/>
    </row>
    <row r="19" spans="1:24" ht="7.5" customHeight="1" x14ac:dyDescent="0.25">
      <c r="A19" s="5"/>
      <c r="B19" s="40"/>
      <c r="C19" s="36"/>
      <c r="D19" s="36"/>
      <c r="E19" s="40"/>
      <c r="F19" s="36"/>
      <c r="G19" s="36"/>
      <c r="H19" s="40"/>
      <c r="I19" s="36"/>
      <c r="J19" s="1"/>
      <c r="M19" s="28"/>
      <c r="N19" s="28"/>
      <c r="O19" s="28"/>
      <c r="P19" s="28"/>
      <c r="Q19" s="5"/>
    </row>
    <row r="20" spans="1:24" ht="15.75" thickBot="1" x14ac:dyDescent="0.3">
      <c r="A20" s="5"/>
      <c r="B20" s="40"/>
      <c r="C20" s="36"/>
      <c r="D20" s="36"/>
      <c r="E20" s="40"/>
      <c r="F20" s="36"/>
      <c r="G20" s="36"/>
      <c r="H20" s="40"/>
      <c r="I20" s="36"/>
      <c r="J20" s="1"/>
      <c r="M20" s="23"/>
      <c r="N20" s="23"/>
      <c r="O20" s="5"/>
      <c r="P20" s="5"/>
      <c r="Q20" s="7"/>
    </row>
    <row r="21" spans="1:24" ht="15" x14ac:dyDescent="0.25">
      <c r="A21" s="5"/>
      <c r="B21" s="82">
        <f t="shared" ref="B21:B28" si="5">H21/10.6/0.8</f>
        <v>849.05660377358481</v>
      </c>
      <c r="C21" s="83">
        <f t="shared" ref="C21:C28" si="6">(B21*$E$4)/100+$F$4</f>
        <v>747.67924528301887</v>
      </c>
      <c r="D21" s="36"/>
      <c r="E21" s="88">
        <v>10000</v>
      </c>
      <c r="F21" s="83">
        <f t="shared" ref="F21:F28" si="7">(E21*$E$5)/100+$F$5</f>
        <v>730.36</v>
      </c>
      <c r="G21" s="36"/>
      <c r="H21" s="92">
        <f t="shared" ref="H21:H28" si="8">E21*0.9*0.8</f>
        <v>7200</v>
      </c>
      <c r="I21" s="83">
        <f t="shared" ref="I21:I28" si="9">(H21*$E$6)/100+$F$6</f>
        <v>711.71519999999987</v>
      </c>
      <c r="J21" s="1"/>
      <c r="M21" s="23"/>
      <c r="N21" s="23"/>
      <c r="O21" s="5"/>
      <c r="P21" s="5"/>
      <c r="Q21" s="8"/>
    </row>
    <row r="22" spans="1:24" ht="15" x14ac:dyDescent="0.25">
      <c r="A22" s="5"/>
      <c r="B22" s="84">
        <f t="shared" si="5"/>
        <v>1273.5849056603774</v>
      </c>
      <c r="C22" s="76">
        <f t="shared" si="6"/>
        <v>1121.5188679245284</v>
      </c>
      <c r="D22" s="36"/>
      <c r="E22" s="89">
        <v>15000</v>
      </c>
      <c r="F22" s="76">
        <f t="shared" si="7"/>
        <v>1054.04</v>
      </c>
      <c r="G22" s="36"/>
      <c r="H22" s="80">
        <f t="shared" si="8"/>
        <v>10800</v>
      </c>
      <c r="I22" s="76">
        <f t="shared" si="9"/>
        <v>996.17279999999994</v>
      </c>
      <c r="J22" s="1"/>
      <c r="M22" s="27"/>
      <c r="N22" s="27"/>
      <c r="O22" s="5"/>
      <c r="P22" s="5"/>
      <c r="Q22" s="1"/>
    </row>
    <row r="23" spans="1:24" ht="15" x14ac:dyDescent="0.25">
      <c r="A23" s="5"/>
      <c r="B23" s="85">
        <f t="shared" si="5"/>
        <v>1698.1132075471696</v>
      </c>
      <c r="C23" s="74">
        <f t="shared" si="6"/>
        <v>1495.3584905660377</v>
      </c>
      <c r="D23" s="36"/>
      <c r="E23" s="90">
        <v>20000</v>
      </c>
      <c r="F23" s="74">
        <f t="shared" si="7"/>
        <v>1377.72</v>
      </c>
      <c r="G23" s="36"/>
      <c r="H23" s="79">
        <f t="shared" si="8"/>
        <v>14400</v>
      </c>
      <c r="I23" s="74">
        <f t="shared" si="9"/>
        <v>1280.6303999999998</v>
      </c>
      <c r="J23" s="1"/>
      <c r="M23" s="5"/>
      <c r="N23" s="5"/>
      <c r="O23" s="27"/>
      <c r="P23" s="27"/>
      <c r="Q23" s="1"/>
    </row>
    <row r="24" spans="1:24" ht="15" x14ac:dyDescent="0.25">
      <c r="A24" s="5"/>
      <c r="B24" s="85">
        <f t="shared" si="5"/>
        <v>2122.6415094339623</v>
      </c>
      <c r="C24" s="74">
        <f t="shared" si="6"/>
        <v>1869.1981132075473</v>
      </c>
      <c r="D24" s="36"/>
      <c r="E24" s="90">
        <v>25000</v>
      </c>
      <c r="F24" s="74">
        <f t="shared" si="7"/>
        <v>1701.4</v>
      </c>
      <c r="G24" s="36"/>
      <c r="H24" s="79">
        <f t="shared" si="8"/>
        <v>18000</v>
      </c>
      <c r="I24" s="74">
        <f t="shared" si="9"/>
        <v>1565.0879999999997</v>
      </c>
      <c r="J24" s="1"/>
      <c r="M24" s="29"/>
      <c r="N24" s="29"/>
      <c r="O24" s="29"/>
      <c r="P24" s="29"/>
    </row>
    <row r="25" spans="1:24" ht="15" x14ac:dyDescent="0.25">
      <c r="A25" s="5"/>
      <c r="B25" s="84">
        <f t="shared" si="5"/>
        <v>2547.1698113207549</v>
      </c>
      <c r="C25" s="76">
        <f t="shared" si="6"/>
        <v>2243.0377358490568</v>
      </c>
      <c r="D25" s="36"/>
      <c r="E25" s="89">
        <v>30000</v>
      </c>
      <c r="F25" s="76">
        <f t="shared" si="7"/>
        <v>2025.08</v>
      </c>
      <c r="G25" s="36"/>
      <c r="H25" s="80">
        <f t="shared" si="8"/>
        <v>21600</v>
      </c>
      <c r="I25" s="76">
        <f t="shared" si="9"/>
        <v>1849.5455999999999</v>
      </c>
      <c r="J25" s="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" x14ac:dyDescent="0.25">
      <c r="A26" s="5"/>
      <c r="B26" s="85">
        <f t="shared" si="5"/>
        <v>2971.6981132075471</v>
      </c>
      <c r="C26" s="74">
        <f t="shared" si="6"/>
        <v>2616.8773584905662</v>
      </c>
      <c r="D26" s="36"/>
      <c r="E26" s="90">
        <v>35000</v>
      </c>
      <c r="F26" s="74">
        <f t="shared" si="7"/>
        <v>2348.7600000000002</v>
      </c>
      <c r="G26" s="36"/>
      <c r="H26" s="79">
        <f t="shared" si="8"/>
        <v>25200</v>
      </c>
      <c r="I26" s="74">
        <f t="shared" si="9"/>
        <v>2134.0031999999997</v>
      </c>
      <c r="J26" s="1"/>
      <c r="M26" s="30"/>
      <c r="N26" s="30"/>
      <c r="O26" s="30"/>
      <c r="P26" s="30"/>
      <c r="Q26" s="5"/>
      <c r="R26" s="5"/>
      <c r="S26" s="5"/>
      <c r="T26" s="5"/>
      <c r="U26" s="5"/>
      <c r="V26" s="5"/>
      <c r="W26" s="5"/>
      <c r="X26" s="5"/>
    </row>
    <row r="27" spans="1:24" ht="15" x14ac:dyDescent="0.25">
      <c r="A27" s="5"/>
      <c r="B27" s="85">
        <f t="shared" si="5"/>
        <v>3396.2264150943392</v>
      </c>
      <c r="C27" s="74">
        <f t="shared" si="6"/>
        <v>2990.7169811320755</v>
      </c>
      <c r="D27" s="36"/>
      <c r="E27" s="90">
        <v>40000</v>
      </c>
      <c r="F27" s="74">
        <f t="shared" si="7"/>
        <v>2672.44</v>
      </c>
      <c r="G27" s="36"/>
      <c r="H27" s="79">
        <f t="shared" si="8"/>
        <v>28800</v>
      </c>
      <c r="I27" s="74">
        <f t="shared" si="9"/>
        <v>2418.4607999999998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thickBot="1" x14ac:dyDescent="0.3">
      <c r="B28" s="86">
        <f t="shared" si="5"/>
        <v>3820.7547169811323</v>
      </c>
      <c r="C28" s="87">
        <f t="shared" si="6"/>
        <v>3364.5566037735848</v>
      </c>
      <c r="D28" s="36"/>
      <c r="E28" s="91">
        <v>45000</v>
      </c>
      <c r="F28" s="87">
        <f t="shared" si="7"/>
        <v>2996.12</v>
      </c>
      <c r="G28" s="36"/>
      <c r="H28" s="93">
        <f t="shared" si="8"/>
        <v>32400</v>
      </c>
      <c r="I28" s="87">
        <f t="shared" si="9"/>
        <v>2702.9184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4.25" x14ac:dyDescent="0.2">
      <c r="B29" s="32"/>
      <c r="C29" s="32"/>
      <c r="D29" s="32"/>
      <c r="E29" s="32"/>
      <c r="F29" s="32"/>
      <c r="G29" s="37"/>
      <c r="H29" s="32"/>
      <c r="I29" s="3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" x14ac:dyDescent="0.2">
      <c r="N30" s="5"/>
      <c r="O30" s="5"/>
      <c r="P30" s="5"/>
      <c r="Q30" s="9"/>
      <c r="R30" s="10"/>
      <c r="S30" s="5"/>
      <c r="T30" s="5"/>
      <c r="U30" s="5"/>
      <c r="V30" s="5"/>
      <c r="W30" s="5"/>
      <c r="X30" s="5"/>
    </row>
    <row r="31" spans="1:24" x14ac:dyDescent="0.2">
      <c r="Q31" s="5"/>
      <c r="R31" s="5"/>
      <c r="S31" s="5"/>
      <c r="T31" s="5"/>
      <c r="U31" s="5"/>
      <c r="V31" s="5"/>
      <c r="W31" s="5"/>
      <c r="X31" s="5"/>
    </row>
    <row r="32" spans="1:24" x14ac:dyDescent="0.2">
      <c r="Q32" s="9"/>
      <c r="R32" s="5"/>
      <c r="S32" s="5"/>
      <c r="T32" s="5"/>
      <c r="U32" s="5"/>
      <c r="V32" s="5"/>
      <c r="W32" s="5"/>
      <c r="X32" s="5"/>
    </row>
    <row r="33" spans="1:24" x14ac:dyDescent="0.2">
      <c r="Q33" s="5"/>
      <c r="R33" s="5"/>
      <c r="S33" s="5"/>
      <c r="T33" s="5"/>
      <c r="U33" s="5"/>
      <c r="V33" s="5"/>
      <c r="W33" s="5"/>
      <c r="X33" s="5"/>
    </row>
    <row r="34" spans="1:24" x14ac:dyDescent="0.2">
      <c r="Q34" s="5"/>
      <c r="R34" s="5"/>
      <c r="S34" s="5"/>
      <c r="T34" s="5"/>
      <c r="U34" s="5"/>
      <c r="V34" s="5"/>
      <c r="W34" s="5"/>
      <c r="X34" s="5"/>
    </row>
    <row r="35" spans="1:24" x14ac:dyDescent="0.2"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">
      <c r="O36" s="5"/>
      <c r="P36" s="12"/>
      <c r="Q36" s="13"/>
      <c r="R36" s="14"/>
      <c r="S36" s="5"/>
      <c r="T36" s="5"/>
      <c r="U36" s="5"/>
      <c r="V36" s="5"/>
      <c r="W36" s="5"/>
      <c r="X36" s="5"/>
    </row>
    <row r="37" spans="1:24" x14ac:dyDescent="0.2"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">
      <c r="A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">
      <c r="A39" s="5"/>
      <c r="Q39" s="5"/>
      <c r="R39" s="5"/>
      <c r="S39" s="5"/>
      <c r="T39" s="5"/>
      <c r="U39" s="5"/>
      <c r="V39" s="5"/>
      <c r="W39" s="5"/>
      <c r="X39" s="5"/>
    </row>
    <row r="40" spans="1:24" x14ac:dyDescent="0.2">
      <c r="A40" s="5"/>
    </row>
    <row r="41" spans="1:24" x14ac:dyDescent="0.2">
      <c r="A41" s="5"/>
    </row>
    <row r="42" spans="1:24" x14ac:dyDescent="0.2">
      <c r="A42" s="5"/>
    </row>
    <row r="43" spans="1:24" x14ac:dyDescent="0.2">
      <c r="A43" s="5"/>
    </row>
    <row r="44" spans="1:24" x14ac:dyDescent="0.2">
      <c r="A44" s="5"/>
    </row>
  </sheetData>
  <mergeCells count="9">
    <mergeCell ref="A1:J1"/>
    <mergeCell ref="C4:D4"/>
    <mergeCell ref="C5:D5"/>
    <mergeCell ref="C6:D6"/>
    <mergeCell ref="F4:G4"/>
    <mergeCell ref="F5:G5"/>
    <mergeCell ref="F6:G6"/>
    <mergeCell ref="C3:D3"/>
    <mergeCell ref="F3:G3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Vergleich Heizung</vt:lpstr>
      <vt:lpstr>Leistungspreis</vt:lpstr>
      <vt:lpstr>Vergleich Brennstoff</vt:lpstr>
      <vt:lpstr>'Vergleich Brennstoff'!Druckbereich</vt:lpstr>
      <vt:lpstr>'Vergleich Heizung'!Druckbereich</vt:lpstr>
    </vt:vector>
  </TitlesOfParts>
  <Company>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Leugers</dc:creator>
  <cp:lastModifiedBy>Goedejohann, Klaus</cp:lastModifiedBy>
  <cp:lastPrinted>2013-01-08T11:01:06Z</cp:lastPrinted>
  <dcterms:created xsi:type="dcterms:W3CDTF">2009-01-12T09:48:36Z</dcterms:created>
  <dcterms:modified xsi:type="dcterms:W3CDTF">2013-06-28T08:12:56Z</dcterms:modified>
</cp:coreProperties>
</file>